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TRIBUTARIES - QC2\Sherman Creek\"/>
    </mc:Choice>
  </mc:AlternateContent>
  <bookViews>
    <workbookView xWindow="-15" yWindow="-15" windowWidth="12615" windowHeight="8730" activeTab="4"/>
  </bookViews>
  <sheets>
    <sheet name="SubS" sheetId="1" r:id="rId1"/>
    <sheet name="Surface" sheetId="2" r:id="rId2"/>
    <sheet name="Summary" sheetId="3" r:id="rId3"/>
    <sheet name="readme" sheetId="6" r:id="rId4"/>
    <sheet name="Dist Chart" sheetId="5" r:id="rId5"/>
  </sheets>
  <externalReferences>
    <externalReference r:id="rId6"/>
  </externalReferences>
  <definedNames>
    <definedName name="_xlnm.Print_Area" localSheetId="0">SubS!$B$1:$J$53</definedName>
  </definedNames>
  <calcPr calcId="152511"/>
</workbook>
</file>

<file path=xl/calcChain.xml><?xml version="1.0" encoding="utf-8"?>
<calcChain xmlns="http://schemas.openxmlformats.org/spreadsheetml/2006/main">
  <c r="F14" i="3" l="1"/>
  <c r="W44" i="2"/>
  <c r="W45" i="2"/>
  <c r="W46" i="2"/>
  <c r="W43" i="2"/>
  <c r="F44" i="2"/>
  <c r="F45" i="2"/>
  <c r="F46" i="2"/>
  <c r="F43" i="2"/>
  <c r="T44" i="2"/>
  <c r="F9" i="3" s="1"/>
  <c r="T45" i="2"/>
  <c r="F10" i="3" s="1"/>
  <c r="T46" i="2"/>
  <c r="F11" i="3" s="1"/>
  <c r="T43" i="2"/>
  <c r="F8" i="3" s="1"/>
  <c r="W30" i="2"/>
  <c r="W31" i="2"/>
  <c r="V30" i="2"/>
  <c r="V31" i="2" s="1"/>
  <c r="N30" i="2"/>
  <c r="H30" i="2"/>
  <c r="H31" i="2" s="1"/>
  <c r="T50" i="2" l="1"/>
  <c r="U14" i="2" l="1"/>
  <c r="U13" i="2"/>
  <c r="N14" i="2"/>
  <c r="N15" i="2" s="1"/>
  <c r="N16" i="2" s="1"/>
  <c r="N17" i="2" s="1"/>
  <c r="N18" i="2" s="1"/>
  <c r="N19" i="2" s="1"/>
  <c r="N20" i="2" s="1"/>
  <c r="N21" i="2" s="1"/>
  <c r="N22" i="2" s="1"/>
  <c r="N23" i="2" s="1"/>
  <c r="N24" i="2" s="1"/>
  <c r="N25" i="2" s="1"/>
  <c r="N26" i="2" s="1"/>
  <c r="N27" i="2" s="1"/>
  <c r="N28" i="2" s="1"/>
  <c r="N29" i="2" s="1"/>
  <c r="N31" i="2" s="1"/>
  <c r="N13" i="2"/>
  <c r="O13" i="2" s="1"/>
  <c r="G13" i="2"/>
  <c r="G14" i="2"/>
  <c r="U15" i="2" l="1"/>
  <c r="U16" i="2" s="1"/>
  <c r="U17" i="2" s="1"/>
  <c r="U18" i="2" s="1"/>
  <c r="G15" i="2"/>
  <c r="G16" i="2" s="1"/>
  <c r="G17" i="2" s="1"/>
  <c r="H13" i="2"/>
  <c r="F50" i="2" s="1"/>
  <c r="H15" i="2" l="1"/>
  <c r="H16" i="2" s="1"/>
  <c r="H17" i="2" s="1"/>
  <c r="H18" i="2" s="1"/>
  <c r="H19" i="2" s="1"/>
  <c r="H20" i="2" s="1"/>
  <c r="H21" i="2" s="1"/>
  <c r="H22" i="2" s="1"/>
  <c r="H23" i="2" s="1"/>
  <c r="H24" i="2" s="1"/>
  <c r="H25" i="2" s="1"/>
  <c r="H26" i="2" s="1"/>
  <c r="H27" i="2" s="1"/>
  <c r="H28" i="2" s="1"/>
  <c r="H29" i="2" s="1"/>
  <c r="V15" i="2"/>
  <c r="V16" i="2" s="1"/>
  <c r="V17" i="2" s="1"/>
  <c r="V18" i="2" s="1"/>
  <c r="V19" i="2" s="1"/>
  <c r="V20" i="2" s="1"/>
  <c r="V21" i="2" s="1"/>
  <c r="D14" i="3"/>
  <c r="W14" i="2"/>
  <c r="AD17" i="1"/>
  <c r="AE17" i="1" s="1"/>
  <c r="AG4" i="1"/>
  <c r="AE5" i="1" s="1"/>
  <c r="AD28" i="1"/>
  <c r="AE3" i="1" s="1"/>
  <c r="AD19" i="1"/>
  <c r="AE19" i="1" s="1"/>
  <c r="AD18" i="1"/>
  <c r="AE18" i="1" s="1"/>
  <c r="AD16" i="1"/>
  <c r="AE16" i="1" s="1"/>
  <c r="AD15" i="1"/>
  <c r="AE15" i="1" s="1"/>
  <c r="AD14" i="1"/>
  <c r="AE14" i="1" s="1"/>
  <c r="AD13" i="1"/>
  <c r="AE13" i="1" s="1"/>
  <c r="AD12" i="1"/>
  <c r="AE12" i="1" s="1"/>
  <c r="AD11" i="1"/>
  <c r="AE11" i="1" s="1"/>
  <c r="D9" i="3" l="1"/>
  <c r="V22" i="2"/>
  <c r="V23" i="2" s="1"/>
  <c r="V24" i="2" s="1"/>
  <c r="V25" i="2" s="1"/>
  <c r="V26" i="2" s="1"/>
  <c r="V27" i="2" s="1"/>
  <c r="V28" i="2" s="1"/>
  <c r="V29" i="2" s="1"/>
  <c r="M50" i="2"/>
  <c r="W13" i="2"/>
  <c r="AD10" i="1"/>
  <c r="AE10" i="1" s="1"/>
  <c r="W15" i="2"/>
  <c r="D8" i="3"/>
  <c r="AE28" i="1"/>
  <c r="C26" i="1"/>
  <c r="F48" i="2" l="1"/>
  <c r="AD29" i="1"/>
  <c r="W50" i="2"/>
  <c r="G14" i="3" s="1"/>
  <c r="W16" i="2"/>
  <c r="D11" i="3"/>
  <c r="AE29" i="1"/>
  <c r="AF10" i="1"/>
  <c r="T48" i="2" l="1"/>
  <c r="F13" i="3" s="1"/>
  <c r="D13" i="3"/>
  <c r="D10" i="3"/>
  <c r="W17" i="2"/>
  <c r="AG10" i="1"/>
  <c r="AJ10" i="1" s="1"/>
  <c r="AF11" i="1"/>
  <c r="W18" i="2" l="1"/>
  <c r="AG11" i="1"/>
  <c r="AJ11" i="1" s="1"/>
  <c r="AF12" i="1"/>
  <c r="W19" i="2" l="1"/>
  <c r="AG12" i="1"/>
  <c r="AJ12" i="1" s="1"/>
  <c r="AF13" i="1"/>
  <c r="W20" i="2" l="1"/>
  <c r="AG13" i="1"/>
  <c r="AJ13" i="1" s="1"/>
  <c r="AF14" i="1"/>
  <c r="W21" i="2" l="1"/>
  <c r="AG14" i="1"/>
  <c r="AJ14" i="1" s="1"/>
  <c r="AF15" i="1"/>
  <c r="W22" i="2" l="1"/>
  <c r="AG15" i="1"/>
  <c r="AJ15" i="1" s="1"/>
  <c r="AF16" i="1"/>
  <c r="W23" i="2" l="1"/>
  <c r="AG16" i="1"/>
  <c r="AJ16" i="1" s="1"/>
  <c r="AF17" i="1"/>
  <c r="W24" i="2" l="1"/>
  <c r="AG17" i="1"/>
  <c r="AJ17" i="1" s="1"/>
  <c r="AF18" i="1"/>
  <c r="W25" i="2" l="1"/>
  <c r="AG18" i="1"/>
  <c r="AJ18" i="1" s="1"/>
  <c r="AF19" i="1"/>
  <c r="AG19" i="1" s="1"/>
  <c r="W26" i="2" l="1"/>
  <c r="AJ19" i="1"/>
  <c r="AI21" i="1"/>
  <c r="AJ21" i="1" s="1"/>
  <c r="AI26" i="1"/>
  <c r="AJ26" i="1" s="1"/>
  <c r="AI24" i="1"/>
  <c r="AJ24" i="1" s="1"/>
  <c r="AI22" i="1"/>
  <c r="AJ22" i="1" s="1"/>
  <c r="AI20" i="1"/>
  <c r="AJ20" i="1" s="1"/>
  <c r="AI27" i="1"/>
  <c r="AJ27" i="1" s="1"/>
  <c r="AI25" i="1"/>
  <c r="AJ25" i="1" s="1"/>
  <c r="AI23" i="1"/>
  <c r="AJ23" i="1" s="1"/>
  <c r="AI19" i="1"/>
  <c r="AD35" i="1" l="1"/>
  <c r="AD33" i="1"/>
  <c r="AD34" i="1"/>
  <c r="W27" i="2"/>
  <c r="AD40" i="1"/>
  <c r="AD32" i="1"/>
  <c r="AD38" i="1"/>
  <c r="AD39" i="1"/>
  <c r="AD37" i="1" l="1"/>
  <c r="W29" i="2"/>
  <c r="W28" i="2"/>
  <c r="G8" i="3" l="1"/>
  <c r="G11" i="3"/>
  <c r="G10" i="3"/>
  <c r="G9" i="3"/>
  <c r="W48" i="2" l="1"/>
  <c r="G13" i="3" s="1"/>
</calcChain>
</file>

<file path=xl/sharedStrings.xml><?xml version="1.0" encoding="utf-8"?>
<sst xmlns="http://schemas.openxmlformats.org/spreadsheetml/2006/main" count="189" uniqueCount="143">
  <si>
    <t>Pebble Count Data Sheet</t>
  </si>
  <si>
    <t>River / Tributary:</t>
  </si>
  <si>
    <t>Crew:</t>
  </si>
  <si>
    <t xml:space="preserve">  Crew:</t>
  </si>
  <si>
    <t xml:space="preserve">Site: </t>
  </si>
  <si>
    <t xml:space="preserve">PRM: </t>
  </si>
  <si>
    <t>Date / Time:</t>
  </si>
  <si>
    <t>Length &amp; Interval:</t>
  </si>
  <si>
    <t>Field Book #</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</si>
  <si>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</si>
  <si>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</si>
  <si>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</si>
  <si>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</si>
  <si>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</si>
  <si>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</si>
  <si>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</si>
  <si>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</si>
  <si>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</si>
  <si>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</si>
  <si>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</si>
  <si>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</si>
  <si>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</si>
  <si>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</si>
  <si>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</si>
  <si>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</si>
  <si>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Results Analysis</t>
  </si>
  <si>
    <t>Wet -16 mm Weight</t>
  </si>
  <si>
    <t>lbs</t>
  </si>
  <si>
    <t>River:</t>
  </si>
  <si>
    <t>Dry -16 mm Weight</t>
  </si>
  <si>
    <t>g  =</t>
  </si>
  <si>
    <t>% Moisture</t>
  </si>
  <si>
    <t xml:space="preserve">  Comments:</t>
  </si>
  <si>
    <t>Field Sieve Results</t>
  </si>
  <si>
    <t>Raw</t>
  </si>
  <si>
    <t>Adjusted for Moisture</t>
  </si>
  <si>
    <t>Cumulative Weight</t>
  </si>
  <si>
    <t>% Finer Field</t>
  </si>
  <si>
    <t>%Finer Lab</t>
  </si>
  <si>
    <t>Adjusted % Finer Lab</t>
  </si>
  <si>
    <t>Compiled Resuts</t>
  </si>
  <si>
    <t>Total Sample Weight</t>
  </si>
  <si>
    <t>(1)</t>
  </si>
  <si>
    <t>(2)</t>
  </si>
  <si>
    <t>(3)</t>
  </si>
  <si>
    <t>(4)</t>
  </si>
  <si>
    <t>Bucket #</t>
  </si>
  <si>
    <t>Bucket Wt (lbs)</t>
  </si>
  <si>
    <t>Bucket + Sample (lbs)</t>
  </si>
  <si>
    <t>Sample Wt   (lbs)</t>
  </si>
  <si>
    <t>Col 3 - Col 2</t>
  </si>
  <si>
    <t xml:space="preserve">  </t>
  </si>
  <si>
    <t>Totals</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</si>
  <si>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</si>
  <si>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</si>
  <si>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</si>
  <si>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</si>
  <si>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</si>
  <si>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</si>
  <si>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</si>
  <si>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</si>
  <si>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</si>
  <si>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</si>
  <si>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</si>
  <si>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</si>
  <si>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</si>
  <si>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</si>
  <si>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</si>
  <si>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</si>
  <si>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</si>
  <si>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</si>
  <si>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</si>
  <si>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</si>
  <si>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</si>
  <si>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</si>
  <si>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 Larger samples sorted by size using gravelometer</t>
  </si>
  <si>
    <t>Total Sample Weight - Total Retained Weight</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</si>
  <si>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</si>
  <si>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</si>
  <si>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</si>
  <si>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</si>
  <si>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</si>
  <si>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</si>
  <si>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D%</t>
  </si>
  <si>
    <t>Gr</t>
  </si>
  <si>
    <t>%Gravel</t>
  </si>
  <si>
    <t>%Sand</t>
  </si>
  <si>
    <t>%Silt/Clay</t>
  </si>
  <si>
    <t>Average</t>
  </si>
  <si>
    <t>Pebble Counts</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</si>
  <si>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</si>
  <si>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</si>
  <si>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</si>
  <si>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</si>
  <si>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</si>
  <si>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</si>
  <si>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</si>
  <si>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</si>
  <si>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</si>
  <si>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</si>
  <si>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</si>
  <si>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</si>
  <si>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</si>
  <si>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</si>
  <si>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</si>
  <si>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</si>
  <si>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</si>
  <si>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Subsurface Field Sieve Data Sheet</t>
  </si>
  <si>
    <t xml:space="preserve">  Northing / Lat:</t>
  </si>
  <si>
    <t xml:space="preserve">  Easting / Long:</t>
  </si>
  <si>
    <t>Sample Number:</t>
  </si>
  <si>
    <t xml:space="preserve">        Excess Water (lbs)</t>
  </si>
  <si>
    <t>NOTE:</t>
  </si>
  <si>
    <t>* All photos and locations are documented</t>
  </si>
  <si>
    <t>on the Surface Sample Data Sheet</t>
  </si>
  <si>
    <t>Remainder</t>
  </si>
  <si>
    <t>Subsample    to lab</t>
  </si>
  <si>
    <t>Photo Backup:</t>
  </si>
  <si>
    <t>of</t>
  </si>
  <si>
    <t>Sample Location (PRM):</t>
  </si>
  <si>
    <t>Field Book #:</t>
  </si>
  <si>
    <t xml:space="preserve">Sample Type:    </t>
  </si>
  <si>
    <t>Main Ch Bar</t>
  </si>
  <si>
    <t>Bank</t>
  </si>
  <si>
    <t>Trib Fan</t>
  </si>
  <si>
    <t>Trib Chan</t>
  </si>
  <si>
    <t>Subsurface Sample Performed with Surface?</t>
  </si>
  <si>
    <t>Sample Type:</t>
  </si>
  <si>
    <t>Northing / Lat:</t>
  </si>
  <si>
    <t>Easting/ Long:</t>
  </si>
  <si>
    <t>RAV</t>
  </si>
  <si>
    <t>DBT</t>
  </si>
  <si>
    <t>NO</t>
  </si>
  <si>
    <t>Sherman</t>
  </si>
  <si>
    <t>XS-1 moving u/s to XS-3</t>
  </si>
  <si>
    <t>S2</t>
  </si>
  <si>
    <t>Trib Channel</t>
  </si>
  <si>
    <t>DBT, RV</t>
  </si>
  <si>
    <t>2 PC - 100', 1'</t>
  </si>
  <si>
    <t>at bottom of left transect</t>
  </si>
  <si>
    <t>Right transect ~ 15' from left transect</t>
  </si>
  <si>
    <t>Looking u/s through xs-1</t>
  </si>
  <si>
    <t>looking d/s through xs-2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</si>
</sst>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i/>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92">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5" xfId="0" applyFont="1" applyFill="1" applyBorder="1" applyAlignment="1"/>
    <xf numFmtId="0" fontId="9" fillId="0" borderId="16" xfId="0" applyFont="1" applyFill="1" applyBorder="1" applyAlignment="1"/>
    <xf numFmtId="0" fontId="9" fillId="0" borderId="8"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20" fontId="2" fillId="0" borderId="2" xfId="0" applyNumberFormat="1" applyFont="1" applyBorder="1" applyAlignment="1">
      <alignment horizontal="center"/>
    </xf>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24" xfId="0" quotePrefix="1" applyFont="1" applyBorder="1" applyAlignment="1">
      <alignment horizont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2" fillId="0" borderId="2" xfId="0" quotePrefix="1" applyFont="1" applyBorder="1" applyAlignment="1">
      <alignment horizontal="right"/>
    </xf>
    <xf numFmtId="0" fontId="13"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0" fontId="2" fillId="0" borderId="0" xfId="0" applyFont="1" applyAlignment="1">
      <alignment horizontal="center" vertical="top"/>
    </xf>
    <xf numFmtId="0" fontId="2" fillId="0" borderId="0" xfId="0" applyFont="1" applyBorder="1" applyAlignment="1">
      <alignment horizontal="right" vertic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2" fillId="4" borderId="4" xfId="0" applyFont="1" applyFill="1" applyBorder="1" applyAlignment="1">
      <alignment horizontal="center" wrapText="1"/>
    </xf>
    <xf numFmtId="0" fontId="2" fillId="4" borderId="4" xfId="0" applyFont="1" applyFill="1" applyBorder="1" applyAlignment="1">
      <alignment horizontal="center" vertical="center"/>
    </xf>
    <xf numFmtId="0" fontId="14"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6" fillId="0" borderId="0" xfId="0" applyFont="1" applyFill="1"/>
    <xf numFmtId="0" fontId="14" fillId="0" borderId="0" xfId="0" applyFont="1" applyAlignment="1">
      <alignment vertical="top" wrapText="1"/>
    </xf>
    <xf numFmtId="0" fontId="9" fillId="0" borderId="1" xfId="0" applyFont="1" applyBorder="1"/>
    <xf numFmtId="165" fontId="2" fillId="5" borderId="0" xfId="1" applyNumberFormat="1" applyFont="1" applyFill="1"/>
    <xf numFmtId="164" fontId="2" fillId="5" borderId="4" xfId="0" applyNumberFormat="1" applyFont="1" applyFill="1" applyBorder="1" applyAlignment="1">
      <alignment horizontal="left"/>
    </xf>
    <xf numFmtId="164" fontId="2" fillId="5" borderId="4" xfId="0" quotePrefix="1" applyNumberFormat="1" applyFont="1" applyFill="1" applyBorder="1" applyAlignment="1">
      <alignment horizontal="left"/>
    </xf>
    <xf numFmtId="0" fontId="2" fillId="5" borderId="4" xfId="0" applyFont="1" applyFill="1" applyBorder="1" applyAlignment="1">
      <alignment horizontal="left"/>
    </xf>
    <xf numFmtId="9" fontId="2" fillId="0" borderId="4" xfId="1" applyNumberFormat="1" applyFont="1" applyBorder="1"/>
    <xf numFmtId="0" fontId="2" fillId="5" borderId="0" xfId="0" applyFont="1" applyFill="1"/>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xf numFmtId="0" fontId="2" fillId="5" borderId="0" xfId="0" applyFont="1" applyFill="1" applyBorder="1"/>
    <xf numFmtId="0" fontId="3" fillId="5" borderId="0" xfId="0" applyFont="1" applyFill="1" applyBorder="1"/>
    <xf numFmtId="2" fontId="2" fillId="5" borderId="0" xfId="0" applyNumberFormat="1" applyFont="1" applyFill="1" applyBorder="1"/>
    <xf numFmtId="0" fontId="0" fillId="0" borderId="0" xfId="0" applyAlignment="1">
      <alignment vertical="center"/>
    </xf>
    <xf numFmtId="0" fontId="0" fillId="5" borderId="0" xfId="0" applyFill="1" applyAlignment="1">
      <alignment horizontal="center"/>
    </xf>
    <xf numFmtId="164" fontId="2" fillId="0" borderId="4" xfId="0" applyNumberFormat="1" applyFont="1" applyFill="1" applyBorder="1" applyAlignment="1">
      <alignment horizontal="center"/>
    </xf>
    <xf numFmtId="164" fontId="2" fillId="0" borderId="25" xfId="0" applyNumberFormat="1" applyFont="1" applyFill="1" applyBorder="1" applyAlignment="1">
      <alignment horizontal="center"/>
    </xf>
    <xf numFmtId="164" fontId="2" fillId="0" borderId="4" xfId="0" applyNumberFormat="1" applyFont="1" applyFill="1" applyBorder="1" applyAlignment="1">
      <alignment horizontal="center" vertical="center" wrapText="1"/>
    </xf>
    <xf numFmtId="0" fontId="2" fillId="0" borderId="26" xfId="0" applyFont="1" applyFill="1" applyBorder="1"/>
    <xf numFmtId="0" fontId="2" fillId="0" borderId="0" xfId="0" applyFont="1" applyBorder="1" applyAlignment="1">
      <alignment horizontal="center" vertical="top"/>
    </xf>
    <xf numFmtId="0" fontId="2" fillId="0" borderId="0" xfId="0" applyFont="1" applyBorder="1" applyAlignment="1">
      <alignment vertical="top"/>
    </xf>
    <xf numFmtId="0" fontId="7" fillId="0" borderId="25" xfId="0" applyFont="1" applyBorder="1" applyAlignment="1">
      <alignment horizontal="center" vertical="center"/>
    </xf>
    <xf numFmtId="0" fontId="2" fillId="5" borderId="13" xfId="0" quotePrefix="1" applyFont="1" applyFill="1" applyBorder="1" applyAlignment="1">
      <alignment horizontal="center" vertical="center"/>
    </xf>
    <xf numFmtId="0" fontId="2" fillId="5" borderId="6" xfId="0" applyFont="1" applyFill="1" applyBorder="1" applyAlignment="1">
      <alignment horizontal="right" vertical="center" wrapText="1"/>
    </xf>
    <xf numFmtId="0" fontId="2" fillId="5" borderId="6" xfId="0" quotePrefix="1" applyFont="1" applyFill="1" applyBorder="1" applyAlignment="1">
      <alignment horizontal="center" vertical="center"/>
    </xf>
    <xf numFmtId="164" fontId="2" fillId="0" borderId="7" xfId="0" applyNumberFormat="1" applyFont="1" applyFill="1" applyBorder="1"/>
    <xf numFmtId="0" fontId="2" fillId="5" borderId="16" xfId="0" quotePrefix="1" applyFont="1" applyFill="1" applyBorder="1" applyAlignment="1">
      <alignment horizontal="center" vertical="center"/>
    </xf>
    <xf numFmtId="0" fontId="2" fillId="5" borderId="4" xfId="0" applyFont="1" applyFill="1" applyBorder="1" applyAlignment="1">
      <alignment horizontal="right" vertical="center" wrapText="1"/>
    </xf>
    <xf numFmtId="0" fontId="2" fillId="5" borderId="4" xfId="0" quotePrefix="1" applyFont="1" applyFill="1" applyBorder="1" applyAlignment="1">
      <alignment horizontal="center" vertical="center"/>
    </xf>
    <xf numFmtId="164" fontId="2" fillId="0" borderId="9" xfId="0" applyNumberFormat="1" applyFont="1" applyFill="1" applyBorder="1"/>
    <xf numFmtId="0" fontId="2" fillId="5" borderId="16" xfId="0" applyFont="1" applyFill="1" applyBorder="1" applyAlignment="1">
      <alignment horizontal="center" vertical="center"/>
    </xf>
    <xf numFmtId="0" fontId="2" fillId="5" borderId="4" xfId="0" applyFont="1" applyFill="1" applyBorder="1" applyAlignment="1">
      <alignment horizontal="center" vertical="center"/>
    </xf>
    <xf numFmtId="164" fontId="2" fillId="5" borderId="16" xfId="0" quotePrefix="1" applyNumberFormat="1" applyFont="1" applyFill="1" applyBorder="1" applyAlignment="1">
      <alignment horizontal="center" vertical="center"/>
    </xf>
    <xf numFmtId="164" fontId="2" fillId="5" borderId="4" xfId="0" quotePrefix="1" applyNumberFormat="1" applyFont="1" applyFill="1" applyBorder="1" applyAlignment="1">
      <alignment horizontal="center" vertical="center"/>
    </xf>
    <xf numFmtId="0" fontId="2" fillId="5" borderId="18" xfId="0" applyFont="1" applyFill="1" applyBorder="1" applyAlignment="1">
      <alignment horizontal="center" vertical="center"/>
    </xf>
    <xf numFmtId="0" fontId="2" fillId="5" borderId="12" xfId="0" applyFont="1" applyFill="1" applyBorder="1" applyAlignment="1">
      <alignment horizontal="center" vertical="center"/>
    </xf>
    <xf numFmtId="0" fontId="7" fillId="0" borderId="0"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xf>
    <xf numFmtId="0" fontId="2" fillId="0" borderId="3" xfId="0" applyFont="1" applyBorder="1" applyAlignment="1">
      <alignment horizontal="right"/>
    </xf>
    <xf numFmtId="0" fontId="14" fillId="0" borderId="0" xfId="0" applyFont="1" applyBorder="1" applyAlignment="1">
      <alignment horizontal="left"/>
    </xf>
    <xf numFmtId="164" fontId="2" fillId="0" borderId="0" xfId="0" applyNumberFormat="1" applyFont="1" applyBorder="1"/>
    <xf numFmtId="0" fontId="18" fillId="0" borderId="0" xfId="0" applyFont="1" applyBorder="1"/>
    <xf numFmtId="0" fontId="18" fillId="0" borderId="0" xfId="0" applyFont="1" applyBorder="1" applyAlignment="1">
      <alignment vertical="center"/>
    </xf>
    <xf numFmtId="0" fontId="4" fillId="0" borderId="0" xfId="0" applyFont="1" applyAlignment="1">
      <alignment horizontal="center"/>
    </xf>
    <xf numFmtId="0" fontId="2" fillId="0" borderId="0" xfId="0" applyFont="1" applyFill="1" applyBorder="1" applyAlignment="1">
      <alignment horizontal="center"/>
    </xf>
    <xf numFmtId="0" fontId="2" fillId="0" borderId="31" xfId="0" applyFont="1" applyFill="1" applyBorder="1"/>
    <xf numFmtId="0" fontId="2" fillId="0" borderId="31" xfId="0" applyFont="1" applyBorder="1"/>
    <xf numFmtId="0" fontId="2" fillId="0" borderId="31" xfId="0" applyFont="1" applyBorder="1" applyAlignment="1">
      <alignment horizontal="right"/>
    </xf>
    <xf numFmtId="0" fontId="2" fillId="0" borderId="0" xfId="0" applyFont="1" applyAlignment="1">
      <alignment horizontal="left"/>
    </xf>
    <xf numFmtId="0" fontId="2" fillId="0" borderId="1" xfId="0" applyFont="1" applyFill="1" applyBorder="1"/>
    <xf numFmtId="0" fontId="2" fillId="0" borderId="2" xfId="0" applyFont="1" applyBorder="1" applyAlignment="1">
      <alignment horizontal="center" vertical="center"/>
    </xf>
    <xf numFmtId="0" fontId="2" fillId="0" borderId="0" xfId="0" quotePrefix="1" applyFont="1" applyAlignment="1">
      <alignment horizontal="center" vertical="center"/>
    </xf>
    <xf numFmtId="0" fontId="2" fillId="0" borderId="2" xfId="0" applyFont="1" applyBorder="1" applyAlignment="1"/>
    <xf numFmtId="164" fontId="2" fillId="0" borderId="4" xfId="0" applyNumberFormat="1" applyFont="1" applyFill="1" applyBorder="1" applyAlignment="1">
      <alignment horizontal="center" vertical="center"/>
    </xf>
    <xf numFmtId="164" fontId="2" fillId="0" borderId="4" xfId="0" applyNumberFormat="1" applyFont="1" applyFill="1" applyBorder="1"/>
    <xf numFmtId="0" fontId="2" fillId="0" borderId="2" xfId="0" applyFont="1" applyFill="1" applyBorder="1" applyAlignment="1">
      <alignment horizontal="center" vertical="center"/>
    </xf>
    <xf numFmtId="0" fontId="2" fillId="0" borderId="4" xfId="0" applyFont="1" applyFill="1" applyBorder="1" applyAlignment="1">
      <alignment horizontal="center"/>
    </xf>
    <xf numFmtId="0" fontId="6" fillId="0" borderId="2" xfId="0" applyFont="1" applyFill="1" applyBorder="1" applyAlignment="1">
      <alignment horizontal="center" vertic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0" fontId="2" fillId="0" borderId="2" xfId="0" applyFont="1" applyBorder="1" applyAlignment="1">
      <alignment horizontal="right"/>
    </xf>
    <xf numFmtId="0" fontId="11" fillId="0" borderId="4" xfId="0" applyFont="1" applyBorder="1" applyAlignment="1">
      <alignment horizontal="center" vertical="center"/>
    </xf>
    <xf numFmtId="0" fontId="15" fillId="0" borderId="0" xfId="0" applyFont="1" applyBorder="1" applyAlignment="1">
      <alignment horizontal="center"/>
    </xf>
    <xf numFmtId="0" fontId="17" fillId="0" borderId="0" xfId="0" applyFont="1" applyAlignment="1">
      <alignment horizontal="center" vertical="top"/>
    </xf>
    <xf numFmtId="0" fontId="14" fillId="0" borderId="0" xfId="0" applyFont="1" applyAlignment="1">
      <alignment horizontal="left" vertical="top" wrapText="1"/>
    </xf>
    <xf numFmtId="0" fontId="4" fillId="0" borderId="0" xfId="0" applyFont="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2" fillId="0" borderId="28" xfId="0" applyFont="1" applyBorder="1" applyAlignment="1">
      <alignment horizontal="left"/>
    </xf>
    <xf numFmtId="0" fontId="2" fillId="0" borderId="2" xfId="0" applyFont="1" applyBorder="1" applyAlignment="1">
      <alignment horizontal="left"/>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2" fillId="0" borderId="1" xfId="0" applyFont="1" applyBorder="1" applyAlignment="1">
      <alignment horizontal="left"/>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left"/>
    </xf>
    <xf numFmtId="0" fontId="2" fillId="0" borderId="4" xfId="0" applyFont="1" applyFill="1" applyBorder="1" applyAlignment="1">
      <alignment horizontal="left"/>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0" fontId="2" fillId="0" borderId="1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9" fillId="0" borderId="10" xfId="0" applyFont="1" applyFill="1" applyBorder="1" applyAlignment="1">
      <alignment horizontal="center"/>
    </xf>
    <xf numFmtId="0" fontId="9" fillId="0" borderId="17" xfId="0" applyFont="1" applyFill="1" applyBorder="1" applyAlignment="1">
      <alignment horizont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0" fillId="5" borderId="0" xfId="0" applyFill="1" applyAlignment="1">
      <alignment horizontal="center"/>
    </xf>
    <xf numFmtId="164" fontId="2" fillId="5" borderId="4" xfId="0" applyNumberFormat="1" applyFont="1" applyFill="1" applyBorder="1" applyAlignment="1">
      <alignment horizontal="right" vertical="center" wrapText="1"/>
    </xf>
    <xf numFmtId="0" fontId="2" fillId="5" borderId="32" xfId="0" applyFont="1" applyFill="1" applyBorder="1" applyAlignment="1">
      <alignment horizontal="center" vertical="center"/>
    </xf>
    <xf numFmtId="0" fontId="2" fillId="5" borderId="25"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Sherman Creek</a:t>
            </a:r>
            <a:endParaRPr lang="en-US"/>
          </a:p>
        </c:rich>
      </c:tx>
      <c:layout>
        <c:manualLayout>
          <c:xMode val="edge"/>
          <c:yMode val="edge"/>
          <c:x val="0.33652555081990898"/>
          <c:y val="3.440596200117766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2"/>
          <c:order val="10"/>
          <c:tx>
            <c:v>Surface Sample Left</c:v>
          </c:tx>
          <c:spPr>
            <a:ln w="31750">
              <a:solidFill>
                <a:schemeClr val="accent6">
                  <a:lumMod val="75000"/>
                </a:schemeClr>
              </a:solidFill>
              <a:prstDash val="lgDashDot"/>
            </a:ln>
          </c:spPr>
          <c:marker>
            <c:symbol val="none"/>
          </c:marker>
          <c:xVal>
            <c:numRef>
              <c:f>Surface!$B$14:$B$31</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pt idx="17">
                  <c:v>720</c:v>
                </c:pt>
              </c:numCache>
            </c:numRef>
          </c:xVal>
          <c:yVal>
            <c:numRef>
              <c:f>Surface!$H$14:$H$31</c:f>
              <c:numCache>
                <c:formatCode>General</c:formatCode>
                <c:ptCount val="18"/>
                <c:pt idx="0">
                  <c:v>0</c:v>
                </c:pt>
                <c:pt idx="1">
                  <c:v>0</c:v>
                </c:pt>
                <c:pt idx="2">
                  <c:v>0</c:v>
                </c:pt>
                <c:pt idx="3" formatCode="0.0">
                  <c:v>0</c:v>
                </c:pt>
                <c:pt idx="4" formatCode="0.0">
                  <c:v>0</c:v>
                </c:pt>
                <c:pt idx="5" formatCode="0.0">
                  <c:v>2.9702970297029703</c:v>
                </c:pt>
                <c:pt idx="6" formatCode="0.0">
                  <c:v>4.9504950495049505</c:v>
                </c:pt>
                <c:pt idx="7" formatCode="0.0">
                  <c:v>6.9306930693069306</c:v>
                </c:pt>
                <c:pt idx="8" formatCode="0.0">
                  <c:v>11.881188118811881</c:v>
                </c:pt>
                <c:pt idx="9" formatCode="0.0">
                  <c:v>19.801980198019802</c:v>
                </c:pt>
                <c:pt idx="10" formatCode="0.0">
                  <c:v>31.683168316831683</c:v>
                </c:pt>
                <c:pt idx="11" formatCode="0.0">
                  <c:v>41.584158415841586</c:v>
                </c:pt>
                <c:pt idx="12" formatCode="0.0">
                  <c:v>61.386138613861391</c:v>
                </c:pt>
                <c:pt idx="13" formatCode="0.0">
                  <c:v>77.227722772277232</c:v>
                </c:pt>
                <c:pt idx="14" formatCode="0.0">
                  <c:v>87.128712871287135</c:v>
                </c:pt>
                <c:pt idx="15" formatCode="0.0">
                  <c:v>91.089108910891099</c:v>
                </c:pt>
                <c:pt idx="16" formatCode="0.0">
                  <c:v>99.009900990099027</c:v>
                </c:pt>
                <c:pt idx="17" formatCode="0.0">
                  <c:v>100.00000000000001</c:v>
                </c:pt>
              </c:numCache>
            </c:numRef>
          </c:yVal>
          <c:smooth val="0"/>
        </c:ser>
        <c:ser>
          <c:idx val="0"/>
          <c:order val="11"/>
          <c:tx>
            <c:v>Surface Sample Right</c:v>
          </c:tx>
          <c:spPr>
            <a:ln>
              <a:solidFill>
                <a:schemeClr val="accent6">
                  <a:lumMod val="75000"/>
                </a:schemeClr>
              </a:solidFill>
              <a:prstDash val="sysDash"/>
            </a:ln>
          </c:spPr>
          <c:marker>
            <c:symbol val="none"/>
          </c:marker>
          <c:xVal>
            <c:numRef>
              <c:f>Surface!$B$14:$B$31</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pt idx="17">
                  <c:v>720</c:v>
                </c:pt>
              </c:numCache>
            </c:numRef>
          </c:xVal>
          <c:yVal>
            <c:numRef>
              <c:f>Surface!$V$14:$V$31</c:f>
              <c:numCache>
                <c:formatCode>General</c:formatCode>
                <c:ptCount val="18"/>
                <c:pt idx="0">
                  <c:v>0</c:v>
                </c:pt>
                <c:pt idx="1">
                  <c:v>0</c:v>
                </c:pt>
                <c:pt idx="2">
                  <c:v>0</c:v>
                </c:pt>
                <c:pt idx="3" formatCode="0.0">
                  <c:v>0</c:v>
                </c:pt>
                <c:pt idx="4" formatCode="0.0">
                  <c:v>0</c:v>
                </c:pt>
                <c:pt idx="5" formatCode="0.0">
                  <c:v>0</c:v>
                </c:pt>
                <c:pt idx="6" formatCode="0.0">
                  <c:v>1</c:v>
                </c:pt>
                <c:pt idx="7" formatCode="0.0">
                  <c:v>1</c:v>
                </c:pt>
                <c:pt idx="8" formatCode="0.0">
                  <c:v>7</c:v>
                </c:pt>
                <c:pt idx="9" formatCode="0.0">
                  <c:v>12</c:v>
                </c:pt>
                <c:pt idx="10" formatCode="0.0">
                  <c:v>17</c:v>
                </c:pt>
                <c:pt idx="11" formatCode="0.0">
                  <c:v>30</c:v>
                </c:pt>
                <c:pt idx="12" formatCode="0.0">
                  <c:v>42</c:v>
                </c:pt>
                <c:pt idx="13" formatCode="0.0">
                  <c:v>61</c:v>
                </c:pt>
                <c:pt idx="14" formatCode="0.0">
                  <c:v>77</c:v>
                </c:pt>
                <c:pt idx="15" formatCode="0.0">
                  <c:v>86</c:v>
                </c:pt>
                <c:pt idx="16" formatCode="0.0">
                  <c:v>95</c:v>
                </c:pt>
                <c:pt idx="17" formatCode="0.0">
                  <c:v>100</c:v>
                </c:pt>
              </c:numCache>
            </c:numRef>
          </c:yVal>
          <c:smooth val="0"/>
        </c:ser>
        <c:ser>
          <c:idx val="1"/>
          <c:order val="12"/>
          <c:tx>
            <c:v>Surface Sample Average</c:v>
          </c:tx>
          <c:spPr>
            <a:ln w="34925">
              <a:solidFill>
                <a:schemeClr val="accent6">
                  <a:lumMod val="75000"/>
                </a:schemeClr>
              </a:solidFill>
            </a:ln>
          </c:spPr>
          <c:marker>
            <c:symbol val="none"/>
          </c:marker>
          <c:xVal>
            <c:numRef>
              <c:f>Surface!$B$14:$B$31</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pt idx="17">
                  <c:v>720</c:v>
                </c:pt>
              </c:numCache>
            </c:numRef>
          </c:xVal>
          <c:yVal>
            <c:numRef>
              <c:f>Surface!$W$14:$W$31</c:f>
              <c:numCache>
                <c:formatCode>0.0</c:formatCode>
                <c:ptCount val="18"/>
                <c:pt idx="0">
                  <c:v>0</c:v>
                </c:pt>
                <c:pt idx="1">
                  <c:v>0</c:v>
                </c:pt>
                <c:pt idx="2">
                  <c:v>0</c:v>
                </c:pt>
                <c:pt idx="3">
                  <c:v>0</c:v>
                </c:pt>
                <c:pt idx="4">
                  <c:v>0</c:v>
                </c:pt>
                <c:pt idx="5">
                  <c:v>1.4851485148514851</c:v>
                </c:pt>
                <c:pt idx="6">
                  <c:v>2.9752475247524752</c:v>
                </c:pt>
                <c:pt idx="7">
                  <c:v>3.9653465346534653</c:v>
                </c:pt>
                <c:pt idx="8">
                  <c:v>9.4405940594059405</c:v>
                </c:pt>
                <c:pt idx="9">
                  <c:v>15.900990099009901</c:v>
                </c:pt>
                <c:pt idx="10">
                  <c:v>24.341584158415841</c:v>
                </c:pt>
                <c:pt idx="11">
                  <c:v>35.792079207920793</c:v>
                </c:pt>
                <c:pt idx="12">
                  <c:v>51.693069306930695</c:v>
                </c:pt>
                <c:pt idx="13">
                  <c:v>69.113861386138609</c:v>
                </c:pt>
                <c:pt idx="14">
                  <c:v>82.06435643564356</c:v>
                </c:pt>
                <c:pt idx="15">
                  <c:v>88.544554455445549</c:v>
                </c:pt>
                <c:pt idx="16">
                  <c:v>97.004950495049513</c:v>
                </c:pt>
                <c:pt idx="17">
                  <c:v>100</c:v>
                </c:pt>
              </c:numCache>
            </c:numRef>
          </c:yVal>
          <c:smooth val="0"/>
        </c:ser>
        <c:dLbls>
          <c:showLegendKey val="0"/>
          <c:showVal val="0"/>
          <c:showCatName val="0"/>
          <c:showSerName val="0"/>
          <c:showPercent val="0"/>
          <c:showBubbleSize val="0"/>
        </c:dLbls>
        <c:axId val="605884872"/>
        <c:axId val="605885264"/>
      </c:scatterChart>
      <c:valAx>
        <c:axId val="605884872"/>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605885264"/>
        <c:crosses val="autoZero"/>
        <c:crossBetween val="midCat"/>
        <c:majorUnit val="10"/>
        <c:minorUnit val="10"/>
      </c:valAx>
      <c:valAx>
        <c:axId val="605885264"/>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605884872"/>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1895872282019795"/>
          <c:y val="0.1227217496962333"/>
          <c:w val="0.28008865130390809"/>
          <c:h val="0.11024226403398357"/>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tabSelected="1"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22861</xdr:colOff>
      <xdr:row>0</xdr:row>
      <xdr:rowOff>0</xdr:rowOff>
    </xdr:from>
    <xdr:ext cx="1981200" cy="444221"/>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32461" y="0"/>
          <a:ext cx="1981200" cy="444221"/>
        </a:xfrm>
        <a:prstGeom prst="rect">
          <a:avLst/>
        </a:prstGeom>
      </xdr:spPr>
    </xdr:pic>
    <xdr:clientData/>
  </xdr:oneCellAnchor>
  <xdr:oneCellAnchor>
    <xdr:from>
      <xdr:col>8</xdr:col>
      <xdr:colOff>367664</xdr:colOff>
      <xdr:row>0</xdr:row>
      <xdr:rowOff>0</xdr:rowOff>
    </xdr:from>
    <xdr:ext cx="661036" cy="711491"/>
    <xdr:pic>
      <xdr:nvPicPr>
        <xdr:cNvPr id="4" name="Picture 3"/>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776084" y="0"/>
          <a:ext cx="661036" cy="71149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8668550" cy="629130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441" y="5591270"/>
          <a:ext cx="7235205" cy="386097"/>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532" y="5585167"/>
          <a:ext cx="6962406" cy="400001"/>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8"/>
  <sheetViews>
    <sheetView topLeftCell="A7" workbookViewId="0">
      <selection activeCell="H45" sqref="H45"/>
    </sheetView>
  </sheetViews>
  <sheetFormatPr defaultColWidth="8.85546875" defaultRowHeight="14.25" x14ac:dyDescent="0.2"/>
  <cols>
    <col min="1" max="1" width="8.85546875" style="1"/>
    <col min="2" max="2" width="13.7109375" style="1" customWidth="1"/>
    <col min="3" max="4" width="12.7109375" style="1" customWidth="1"/>
    <col min="5" max="5" width="15.5703125" style="1" customWidth="1"/>
    <col min="6" max="6" width="11.5703125" style="1" customWidth="1"/>
    <col min="7" max="7" width="10.28515625" style="1" customWidth="1"/>
    <col min="8" max="8" width="11.28515625" style="1" customWidth="1"/>
    <col min="9" max="9" width="12.28515625" style="1" customWidth="1"/>
    <col min="10" max="10" width="12.7109375" style="1" customWidth="1"/>
    <col min="11" max="12" width="9.140625" style="1" customWidth="1"/>
    <col min="13" max="13" width="8.85546875" style="1"/>
    <col min="14" max="14" width="11" style="1" customWidth="1"/>
    <col min="15" max="28" width="8.85546875" style="1"/>
    <col min="29" max="31" width="9.140625" style="1"/>
    <col min="32" max="32" width="11.140625" style="1" customWidth="1"/>
    <col min="33" max="35" width="9.140625" style="1"/>
    <col min="36" max="36" width="9.42578125" style="1" customWidth="1"/>
    <col min="37" max="16384" width="8.85546875" style="1"/>
  </cols>
  <sheetData>
    <row r="1" spans="2:37" ht="23.25" x14ac:dyDescent="0.35">
      <c r="AC1" s="158" t="s">
        <v>25</v>
      </c>
      <c r="AD1" s="158"/>
      <c r="AE1" s="158"/>
      <c r="AF1" s="158"/>
      <c r="AG1" s="158"/>
      <c r="AH1" s="158"/>
      <c r="AI1" s="158"/>
      <c r="AJ1" s="158"/>
      <c r="AK1"/>
    </row>
    <row r="2" spans="2:37" ht="23.25" x14ac:dyDescent="0.35">
      <c r="AC2" s="135"/>
      <c r="AD2" s="135"/>
      <c r="AE2" s="135"/>
      <c r="AF2" s="135"/>
      <c r="AG2" s="135"/>
      <c r="AH2" s="135"/>
      <c r="AI2" s="135"/>
      <c r="AJ2" s="135"/>
      <c r="AK2"/>
    </row>
    <row r="3" spans="2:37" ht="23.25" x14ac:dyDescent="0.35">
      <c r="B3" s="158" t="s">
        <v>107</v>
      </c>
      <c r="C3" s="158"/>
      <c r="D3" s="158"/>
      <c r="E3" s="158"/>
      <c r="F3" s="158"/>
      <c r="G3" s="158"/>
      <c r="H3" s="158"/>
      <c r="I3" s="158"/>
      <c r="J3" s="158"/>
      <c r="AC3" s="1" t="s">
        <v>26</v>
      </c>
      <c r="AE3" s="49">
        <f>+AD28</f>
        <v>0</v>
      </c>
      <c r="AF3" s="1" t="s">
        <v>27</v>
      </c>
      <c r="AK3"/>
    </row>
    <row r="4" spans="2:37" ht="14.45" x14ac:dyDescent="0.3">
      <c r="B4" s="6" t="s">
        <v>28</v>
      </c>
      <c r="C4" s="6"/>
      <c r="D4" s="20"/>
      <c r="E4" s="6"/>
      <c r="F4" s="6" t="s">
        <v>3</v>
      </c>
      <c r="G4" s="6"/>
      <c r="H4" s="6"/>
      <c r="I4" s="6"/>
      <c r="J4" s="8"/>
      <c r="AC4" s="1" t="s">
        <v>29</v>
      </c>
      <c r="AE4" s="50"/>
      <c r="AF4" s="1" t="s">
        <v>30</v>
      </c>
      <c r="AG4" s="51">
        <f>+AE4*0.0022046</f>
        <v>0</v>
      </c>
      <c r="AH4" s="1" t="s">
        <v>27</v>
      </c>
      <c r="AK4"/>
    </row>
    <row r="5" spans="2:37" ht="14.45" x14ac:dyDescent="0.3">
      <c r="B5" s="9" t="s">
        <v>6</v>
      </c>
      <c r="C5" s="10"/>
      <c r="D5" s="52"/>
      <c r="E5" s="9"/>
      <c r="F5" s="9" t="s">
        <v>108</v>
      </c>
      <c r="G5" s="9"/>
      <c r="H5" s="9"/>
      <c r="I5" s="9"/>
      <c r="J5" s="8"/>
      <c r="AC5" s="1" t="s">
        <v>31</v>
      </c>
      <c r="AE5" s="92" t="e">
        <f>1-AG4/H45</f>
        <v>#DIV/0!</v>
      </c>
      <c r="AK5"/>
    </row>
    <row r="6" spans="2:37" ht="15" thickBot="1" x14ac:dyDescent="0.35">
      <c r="B6" s="9" t="s">
        <v>8</v>
      </c>
      <c r="C6" s="9"/>
      <c r="D6" s="16"/>
      <c r="E6" s="9"/>
      <c r="F6" s="9" t="s">
        <v>109</v>
      </c>
      <c r="G6" s="15"/>
      <c r="H6" s="9"/>
      <c r="I6" s="9"/>
      <c r="J6" s="8"/>
      <c r="AE6" s="53"/>
      <c r="AK6"/>
    </row>
    <row r="7" spans="2:37" ht="15" x14ac:dyDescent="0.25">
      <c r="B7" s="9" t="s">
        <v>119</v>
      </c>
      <c r="C7" s="9"/>
      <c r="D7" s="9"/>
      <c r="E7" s="9"/>
      <c r="F7" s="14" t="s">
        <v>32</v>
      </c>
      <c r="G7" s="9"/>
      <c r="H7" s="9"/>
      <c r="I7" s="9"/>
      <c r="J7" s="8"/>
      <c r="AD7" s="159" t="s">
        <v>33</v>
      </c>
      <c r="AE7" s="160"/>
      <c r="AF7" s="160"/>
      <c r="AG7" s="161"/>
      <c r="AK7"/>
    </row>
    <row r="8" spans="2:37" ht="15" x14ac:dyDescent="0.25">
      <c r="B8" s="9" t="s">
        <v>110</v>
      </c>
      <c r="C8" s="9"/>
      <c r="D8" s="142"/>
      <c r="E8" s="9"/>
      <c r="F8" s="19"/>
      <c r="G8" s="9"/>
      <c r="H8" s="9"/>
      <c r="I8" s="9"/>
      <c r="J8" s="8"/>
      <c r="AD8" s="17"/>
      <c r="AE8" s="17"/>
      <c r="AF8" s="17"/>
      <c r="AG8" s="17"/>
      <c r="AK8"/>
    </row>
    <row r="9" spans="2:37" ht="42" customHeight="1" x14ac:dyDescent="0.25">
      <c r="B9" s="128" t="s">
        <v>121</v>
      </c>
      <c r="C9" s="147" t="s">
        <v>122</v>
      </c>
      <c r="D9" s="142" t="s">
        <v>123</v>
      </c>
      <c r="E9" s="149" t="s">
        <v>124</v>
      </c>
      <c r="F9" s="143" t="s">
        <v>125</v>
      </c>
      <c r="G9" s="9"/>
      <c r="H9" s="9"/>
      <c r="I9" s="9"/>
      <c r="J9" s="8"/>
      <c r="AD9" s="54" t="s">
        <v>34</v>
      </c>
      <c r="AE9" s="54" t="s">
        <v>35</v>
      </c>
      <c r="AF9" s="55" t="s">
        <v>36</v>
      </c>
      <c r="AG9" s="55" t="s">
        <v>37</v>
      </c>
      <c r="AH9" s="55" t="s">
        <v>38</v>
      </c>
      <c r="AI9" s="55" t="s">
        <v>39</v>
      </c>
      <c r="AJ9" s="55" t="s">
        <v>40</v>
      </c>
      <c r="AK9"/>
    </row>
    <row r="10" spans="2:37" ht="15" x14ac:dyDescent="0.25">
      <c r="B10" s="9"/>
      <c r="C10" s="9"/>
      <c r="D10" s="9"/>
      <c r="E10" s="9"/>
      <c r="G10" s="9"/>
      <c r="H10" s="9"/>
      <c r="I10" s="9"/>
      <c r="J10" s="8"/>
      <c r="AC10" s="93">
        <v>360</v>
      </c>
      <c r="AD10" s="56">
        <f t="shared" ref="AD10:AD19" si="0">+H32</f>
        <v>0</v>
      </c>
      <c r="AE10" s="56">
        <f>+AD10</f>
        <v>0</v>
      </c>
      <c r="AF10" s="56">
        <f>+AE10</f>
        <v>0</v>
      </c>
      <c r="AG10" s="57" t="e">
        <f t="shared" ref="AG10:AG19" si="1">1-(AF10/AE$29)</f>
        <v>#DIV/0!</v>
      </c>
      <c r="AH10" s="58"/>
      <c r="AI10" s="58"/>
      <c r="AJ10" s="59" t="e">
        <f t="shared" ref="AJ10:AJ19" si="2">+AG10*100</f>
        <v>#DIV/0!</v>
      </c>
      <c r="AK10"/>
    </row>
    <row r="11" spans="2:37" ht="15" thickBot="1" x14ac:dyDescent="0.35">
      <c r="G11" s="9"/>
      <c r="H11" s="9"/>
      <c r="I11" s="9"/>
      <c r="J11" s="8"/>
      <c r="AC11" s="93">
        <v>256</v>
      </c>
      <c r="AD11" s="56">
        <f t="shared" si="0"/>
        <v>0</v>
      </c>
      <c r="AE11" s="56">
        <f t="shared" ref="AE11:AE19" si="3">+AD11</f>
        <v>0</v>
      </c>
      <c r="AF11" s="60">
        <f t="shared" ref="AF11:AF19" si="4">+AE11+AF10</f>
        <v>0</v>
      </c>
      <c r="AG11" s="57" t="e">
        <f t="shared" si="1"/>
        <v>#DIV/0!</v>
      </c>
      <c r="AH11" s="58"/>
      <c r="AI11" s="58"/>
      <c r="AJ11" s="59" t="e">
        <f t="shared" si="2"/>
        <v>#DIV/0!</v>
      </c>
      <c r="AK11"/>
    </row>
    <row r="12" spans="2:37" ht="18" thickBot="1" x14ac:dyDescent="0.35">
      <c r="B12" s="162" t="s">
        <v>41</v>
      </c>
      <c r="C12" s="163"/>
      <c r="D12" s="163"/>
      <c r="E12" s="164"/>
      <c r="G12" s="12"/>
      <c r="H12" s="12"/>
      <c r="I12" s="12"/>
      <c r="AC12" s="93">
        <v>180</v>
      </c>
      <c r="AD12" s="56">
        <f t="shared" si="0"/>
        <v>0</v>
      </c>
      <c r="AE12" s="56">
        <f t="shared" si="3"/>
        <v>0</v>
      </c>
      <c r="AF12" s="60">
        <f t="shared" si="4"/>
        <v>0</v>
      </c>
      <c r="AG12" s="57" t="e">
        <f t="shared" si="1"/>
        <v>#DIV/0!</v>
      </c>
      <c r="AH12" s="58"/>
      <c r="AI12" s="58"/>
      <c r="AJ12" s="59" t="e">
        <f t="shared" si="2"/>
        <v>#DIV/0!</v>
      </c>
      <c r="AK12"/>
    </row>
    <row r="13" spans="2:37" ht="14.45" x14ac:dyDescent="0.3">
      <c r="B13" s="61" t="s">
        <v>42</v>
      </c>
      <c r="C13" s="61" t="s">
        <v>43</v>
      </c>
      <c r="D13" s="61" t="s">
        <v>44</v>
      </c>
      <c r="E13" s="61" t="s">
        <v>45</v>
      </c>
      <c r="G13" s="129"/>
      <c r="H13" s="6"/>
      <c r="I13" s="6"/>
      <c r="AC13" s="93">
        <v>128</v>
      </c>
      <c r="AD13" s="56">
        <f t="shared" si="0"/>
        <v>0</v>
      </c>
      <c r="AE13" s="56">
        <f t="shared" si="3"/>
        <v>0</v>
      </c>
      <c r="AF13" s="60">
        <f t="shared" si="4"/>
        <v>0</v>
      </c>
      <c r="AG13" s="57" t="e">
        <f>1-(AF13/AE$29)</f>
        <v>#DIV/0!</v>
      </c>
      <c r="AH13" s="58"/>
      <c r="AI13" s="58"/>
      <c r="AJ13" s="59" t="e">
        <f t="shared" si="2"/>
        <v>#DIV/0!</v>
      </c>
      <c r="AK13"/>
    </row>
    <row r="14" spans="2:37" ht="27.6" x14ac:dyDescent="0.3">
      <c r="B14" s="62" t="s">
        <v>46</v>
      </c>
      <c r="C14" s="63" t="s">
        <v>47</v>
      </c>
      <c r="D14" s="63" t="s">
        <v>48</v>
      </c>
      <c r="E14" s="63" t="s">
        <v>49</v>
      </c>
      <c r="F14" s="1" t="s">
        <v>111</v>
      </c>
      <c r="G14" s="130"/>
      <c r="H14" s="64"/>
      <c r="I14" s="9"/>
      <c r="AC14" s="94">
        <v>90</v>
      </c>
      <c r="AD14" s="56">
        <f t="shared" si="0"/>
        <v>0</v>
      </c>
      <c r="AE14" s="56">
        <f t="shared" si="3"/>
        <v>0</v>
      </c>
      <c r="AF14" s="60">
        <f t="shared" si="4"/>
        <v>0</v>
      </c>
      <c r="AG14" s="57" t="e">
        <f t="shared" si="1"/>
        <v>#DIV/0!</v>
      </c>
      <c r="AH14" s="58"/>
      <c r="AI14" s="58"/>
      <c r="AJ14" s="59" t="e">
        <f t="shared" si="2"/>
        <v>#DIV/0!</v>
      </c>
      <c r="AK14"/>
    </row>
    <row r="15" spans="2:37" ht="14.45" x14ac:dyDescent="0.3">
      <c r="B15" s="62"/>
      <c r="C15" s="63"/>
      <c r="D15" s="63"/>
      <c r="E15" s="65" t="s">
        <v>50</v>
      </c>
      <c r="G15" s="21"/>
      <c r="H15" s="8"/>
      <c r="I15" s="8"/>
      <c r="AC15" s="94">
        <v>64</v>
      </c>
      <c r="AD15" s="56">
        <f t="shared" si="0"/>
        <v>0</v>
      </c>
      <c r="AE15" s="56">
        <f t="shared" si="3"/>
        <v>0</v>
      </c>
      <c r="AF15" s="60">
        <f t="shared" si="4"/>
        <v>0</v>
      </c>
      <c r="AG15" s="57" t="e">
        <f t="shared" si="1"/>
        <v>#DIV/0!</v>
      </c>
      <c r="AH15" s="58"/>
      <c r="AI15" s="58"/>
      <c r="AJ15" s="59" t="e">
        <f t="shared" si="2"/>
        <v>#DIV/0!</v>
      </c>
      <c r="AK15"/>
    </row>
    <row r="16" spans="2:37" ht="14.45" x14ac:dyDescent="0.3">
      <c r="B16" s="66">
        <v>1</v>
      </c>
      <c r="C16" s="67">
        <v>1.7</v>
      </c>
      <c r="D16" s="67"/>
      <c r="E16" s="106"/>
      <c r="G16" s="131" t="s">
        <v>112</v>
      </c>
      <c r="H16" s="132"/>
      <c r="I16" s="8"/>
      <c r="AC16" s="93">
        <v>45</v>
      </c>
      <c r="AD16" s="56">
        <f t="shared" si="0"/>
        <v>0</v>
      </c>
      <c r="AE16" s="56">
        <f t="shared" si="3"/>
        <v>0</v>
      </c>
      <c r="AF16" s="60">
        <f t="shared" si="4"/>
        <v>0</v>
      </c>
      <c r="AG16" s="57" t="e">
        <f t="shared" si="1"/>
        <v>#DIV/0!</v>
      </c>
      <c r="AH16" s="58"/>
      <c r="AI16" s="58"/>
      <c r="AJ16" s="59" t="e">
        <f t="shared" si="2"/>
        <v>#DIV/0!</v>
      </c>
      <c r="AK16"/>
    </row>
    <row r="17" spans="2:37" ht="14.45" x14ac:dyDescent="0.3">
      <c r="B17" s="66">
        <v>2</v>
      </c>
      <c r="C17" s="67">
        <v>1.7</v>
      </c>
      <c r="D17" s="67"/>
      <c r="E17" s="106"/>
      <c r="G17" s="133" t="s">
        <v>113</v>
      </c>
      <c r="H17" s="8"/>
      <c r="I17" s="8"/>
      <c r="K17" s="8"/>
      <c r="L17" s="8"/>
      <c r="M17" s="8"/>
      <c r="N17" s="8"/>
      <c r="AC17" s="93">
        <v>32</v>
      </c>
      <c r="AD17" s="56">
        <f t="shared" si="0"/>
        <v>0</v>
      </c>
      <c r="AE17" s="56">
        <f t="shared" si="3"/>
        <v>0</v>
      </c>
      <c r="AF17" s="60">
        <f t="shared" si="4"/>
        <v>0</v>
      </c>
      <c r="AG17" s="57" t="e">
        <f t="shared" si="1"/>
        <v>#DIV/0!</v>
      </c>
      <c r="AH17" s="58"/>
      <c r="AI17" s="58"/>
      <c r="AJ17" s="59" t="e">
        <f t="shared" si="2"/>
        <v>#DIV/0!</v>
      </c>
      <c r="AK17"/>
    </row>
    <row r="18" spans="2:37" ht="14.45" x14ac:dyDescent="0.3">
      <c r="B18" s="66">
        <v>3</v>
      </c>
      <c r="C18" s="67">
        <v>1.7</v>
      </c>
      <c r="D18" s="67"/>
      <c r="E18" s="106"/>
      <c r="G18" s="134" t="s">
        <v>114</v>
      </c>
      <c r="H18" s="69"/>
      <c r="I18" s="69"/>
      <c r="J18" s="8"/>
      <c r="K18" s="8"/>
      <c r="L18" s="8"/>
      <c r="M18" s="8"/>
      <c r="N18" s="8"/>
      <c r="AC18" s="93">
        <v>22.5</v>
      </c>
      <c r="AD18" s="56">
        <f t="shared" si="0"/>
        <v>0</v>
      </c>
      <c r="AE18" s="56">
        <f t="shared" si="3"/>
        <v>0</v>
      </c>
      <c r="AF18" s="60">
        <f t="shared" si="4"/>
        <v>0</v>
      </c>
      <c r="AG18" s="57" t="e">
        <f t="shared" si="1"/>
        <v>#DIV/0!</v>
      </c>
      <c r="AH18" s="58"/>
      <c r="AI18" s="58"/>
      <c r="AJ18" s="59" t="e">
        <f t="shared" si="2"/>
        <v>#DIV/0!</v>
      </c>
      <c r="AK18"/>
    </row>
    <row r="19" spans="2:37" ht="14.45" x14ac:dyDescent="0.3">
      <c r="B19" s="66">
        <v>4</v>
      </c>
      <c r="C19" s="67">
        <v>1.7</v>
      </c>
      <c r="D19" s="67"/>
      <c r="E19" s="106"/>
      <c r="F19" s="13" t="s">
        <v>51</v>
      </c>
      <c r="G19" s="42"/>
      <c r="H19" s="69"/>
      <c r="I19" s="69"/>
      <c r="J19" s="69"/>
      <c r="K19" s="69"/>
      <c r="L19" s="69"/>
      <c r="M19" s="69"/>
      <c r="N19" s="69"/>
      <c r="AC19" s="93">
        <v>16</v>
      </c>
      <c r="AD19" s="60">
        <f t="shared" si="0"/>
        <v>0</v>
      </c>
      <c r="AE19" s="56">
        <f t="shared" si="3"/>
        <v>0</v>
      </c>
      <c r="AF19" s="60">
        <f t="shared" si="4"/>
        <v>0</v>
      </c>
      <c r="AG19" s="57" t="e">
        <f t="shared" si="1"/>
        <v>#DIV/0!</v>
      </c>
      <c r="AH19" s="70">
        <v>100</v>
      </c>
      <c r="AI19" s="57" t="e">
        <f t="shared" ref="AI19:AI27" si="5">+AH19/100*AG$19</f>
        <v>#DIV/0!</v>
      </c>
      <c r="AJ19" s="59" t="e">
        <f t="shared" si="2"/>
        <v>#DIV/0!</v>
      </c>
      <c r="AK19"/>
    </row>
    <row r="20" spans="2:37" ht="14.45" x14ac:dyDescent="0.3">
      <c r="B20" s="66">
        <v>5</v>
      </c>
      <c r="C20" s="67">
        <v>1.7</v>
      </c>
      <c r="D20" s="67"/>
      <c r="E20" s="106"/>
      <c r="G20" s="17"/>
      <c r="H20" s="32"/>
      <c r="I20" s="32"/>
      <c r="J20" s="32"/>
      <c r="K20" s="72"/>
      <c r="L20" s="72"/>
      <c r="M20" s="72"/>
      <c r="N20" s="72"/>
      <c r="AC20" s="93">
        <v>8</v>
      </c>
      <c r="AD20" s="58"/>
      <c r="AE20" s="58"/>
      <c r="AF20" s="58"/>
      <c r="AG20" s="58"/>
      <c r="AH20" s="70">
        <v>69</v>
      </c>
      <c r="AI20" s="57" t="e">
        <f t="shared" si="5"/>
        <v>#DIV/0!</v>
      </c>
      <c r="AJ20" s="59" t="e">
        <f t="shared" ref="AJ20:AJ27" si="6">+AI20*100</f>
        <v>#DIV/0!</v>
      </c>
      <c r="AK20"/>
    </row>
    <row r="21" spans="2:37" ht="14.45" x14ac:dyDescent="0.3">
      <c r="B21" s="66">
        <v>6</v>
      </c>
      <c r="C21" s="67">
        <v>1.7</v>
      </c>
      <c r="D21" s="67"/>
      <c r="E21" s="106"/>
      <c r="G21" s="17"/>
      <c r="H21" s="32"/>
      <c r="I21" s="32"/>
      <c r="J21" s="32"/>
      <c r="K21" s="72"/>
      <c r="L21" s="72"/>
      <c r="M21" s="72"/>
      <c r="N21" s="72"/>
      <c r="AC21" s="93">
        <v>4</v>
      </c>
      <c r="AD21" s="58"/>
      <c r="AE21" s="58"/>
      <c r="AF21" s="58"/>
      <c r="AG21" s="58"/>
      <c r="AH21" s="70">
        <v>54</v>
      </c>
      <c r="AI21" s="57" t="e">
        <f t="shared" si="5"/>
        <v>#DIV/0!</v>
      </c>
      <c r="AJ21" s="59" t="e">
        <f t="shared" si="6"/>
        <v>#DIV/0!</v>
      </c>
      <c r="AK21"/>
    </row>
    <row r="22" spans="2:37" ht="14.45" x14ac:dyDescent="0.3">
      <c r="B22" s="66">
        <v>7</v>
      </c>
      <c r="C22" s="67">
        <v>1.7</v>
      </c>
      <c r="D22" s="67"/>
      <c r="E22" s="107"/>
      <c r="G22" s="17"/>
      <c r="H22" s="32"/>
      <c r="I22" s="32"/>
      <c r="J22" s="32"/>
      <c r="K22" s="72"/>
      <c r="L22" s="72"/>
      <c r="M22" s="72"/>
      <c r="N22" s="72"/>
      <c r="AC22" s="93">
        <v>2</v>
      </c>
      <c r="AD22" s="58"/>
      <c r="AE22" s="58"/>
      <c r="AF22" s="58"/>
      <c r="AG22" s="58"/>
      <c r="AH22" s="70">
        <v>46</v>
      </c>
      <c r="AI22" s="57" t="e">
        <f t="shared" si="5"/>
        <v>#DIV/0!</v>
      </c>
      <c r="AJ22" s="59" t="e">
        <f t="shared" si="6"/>
        <v>#DIV/0!</v>
      </c>
      <c r="AK22"/>
    </row>
    <row r="23" spans="2:37" ht="15" x14ac:dyDescent="0.25">
      <c r="B23" s="66">
        <v>8</v>
      </c>
      <c r="C23" s="67"/>
      <c r="D23" s="67"/>
      <c r="E23" s="107"/>
      <c r="G23" s="17"/>
      <c r="H23" s="32"/>
      <c r="I23" s="32"/>
      <c r="J23" s="32"/>
      <c r="K23" s="72"/>
      <c r="L23" s="72"/>
      <c r="M23" s="72"/>
      <c r="N23" s="72"/>
      <c r="AC23" s="93">
        <v>1</v>
      </c>
      <c r="AD23" s="58"/>
      <c r="AE23" s="58"/>
      <c r="AF23" s="58"/>
      <c r="AG23" s="58"/>
      <c r="AH23" s="70">
        <v>42</v>
      </c>
      <c r="AI23" s="57" t="e">
        <f t="shared" si="5"/>
        <v>#DIV/0!</v>
      </c>
      <c r="AJ23" s="59" t="e">
        <f t="shared" si="6"/>
        <v>#DIV/0!</v>
      </c>
      <c r="AK23"/>
    </row>
    <row r="24" spans="2:37" ht="15" x14ac:dyDescent="0.25">
      <c r="B24" s="66">
        <v>9</v>
      </c>
      <c r="C24" s="67"/>
      <c r="D24" s="67"/>
      <c r="E24" s="107"/>
      <c r="G24" s="17"/>
      <c r="H24" s="32"/>
      <c r="I24" s="32"/>
      <c r="J24" s="32"/>
      <c r="K24" s="72"/>
      <c r="L24" s="72"/>
      <c r="M24" s="72"/>
      <c r="N24" s="72"/>
      <c r="AC24" s="93">
        <v>0.5</v>
      </c>
      <c r="AD24" s="58"/>
      <c r="AE24" s="58"/>
      <c r="AF24" s="58"/>
      <c r="AG24" s="58"/>
      <c r="AH24" s="70">
        <v>39</v>
      </c>
      <c r="AI24" s="57" t="e">
        <f t="shared" si="5"/>
        <v>#DIV/0!</v>
      </c>
      <c r="AJ24" s="59" t="e">
        <f t="shared" si="6"/>
        <v>#DIV/0!</v>
      </c>
      <c r="AK24"/>
    </row>
    <row r="25" spans="2:37" ht="15" x14ac:dyDescent="0.25">
      <c r="B25" s="66">
        <v>10</v>
      </c>
      <c r="C25" s="67"/>
      <c r="D25" s="67"/>
      <c r="E25" s="107"/>
      <c r="G25" s="17"/>
      <c r="H25" s="32"/>
      <c r="I25" s="32"/>
      <c r="J25" s="32"/>
      <c r="K25" s="72"/>
      <c r="L25" s="72"/>
      <c r="M25" s="72"/>
      <c r="N25" s="72"/>
      <c r="AC25" s="95">
        <v>0.25</v>
      </c>
      <c r="AD25" s="58"/>
      <c r="AE25" s="58"/>
      <c r="AF25" s="58"/>
      <c r="AG25" s="58"/>
      <c r="AH25" s="70">
        <v>31</v>
      </c>
      <c r="AI25" s="57" t="e">
        <f t="shared" si="5"/>
        <v>#DIV/0!</v>
      </c>
      <c r="AJ25" s="59" t="e">
        <f t="shared" si="6"/>
        <v>#DIV/0!</v>
      </c>
      <c r="AK25"/>
    </row>
    <row r="26" spans="2:37" ht="15" x14ac:dyDescent="0.25">
      <c r="B26" s="66" t="s">
        <v>52</v>
      </c>
      <c r="C26" s="67">
        <f>SUM(C16:C25)</f>
        <v>11.899999999999999</v>
      </c>
      <c r="D26" s="67"/>
      <c r="E26" s="106"/>
      <c r="G26" s="17"/>
      <c r="H26" s="32"/>
      <c r="I26" s="32"/>
      <c r="J26" s="32"/>
      <c r="K26" s="72"/>
      <c r="L26" s="72"/>
      <c r="M26" s="72"/>
      <c r="N26" s="72"/>
      <c r="AC26" s="95">
        <v>0.125</v>
      </c>
      <c r="AD26" s="58"/>
      <c r="AE26" s="58"/>
      <c r="AF26" s="58"/>
      <c r="AG26" s="58"/>
      <c r="AH26" s="70">
        <v>21</v>
      </c>
      <c r="AI26" s="96" t="e">
        <f t="shared" si="5"/>
        <v>#DIV/0!</v>
      </c>
      <c r="AJ26" s="59" t="e">
        <f t="shared" si="6"/>
        <v>#DIV/0!</v>
      </c>
      <c r="AK26"/>
    </row>
    <row r="27" spans="2:37" ht="15" x14ac:dyDescent="0.25">
      <c r="B27" s="17"/>
      <c r="C27" s="8"/>
      <c r="D27" s="8"/>
      <c r="E27" s="8"/>
      <c r="G27" s="110"/>
      <c r="H27" s="111"/>
      <c r="I27" s="111"/>
      <c r="J27" s="74"/>
      <c r="K27" s="8"/>
      <c r="L27" s="8"/>
      <c r="M27" s="8"/>
      <c r="N27" s="8"/>
      <c r="AC27" s="95">
        <v>6.25E-2</v>
      </c>
      <c r="AD27" s="56"/>
      <c r="AE27" s="56"/>
      <c r="AF27" s="56"/>
      <c r="AG27" s="56"/>
      <c r="AH27" s="56">
        <v>13.4</v>
      </c>
      <c r="AI27" s="96" t="e">
        <f t="shared" si="5"/>
        <v>#DIV/0!</v>
      </c>
      <c r="AJ27" s="59" t="e">
        <f t="shared" si="6"/>
        <v>#DIV/0!</v>
      </c>
      <c r="AK27"/>
    </row>
    <row r="28" spans="2:37" ht="18" x14ac:dyDescent="0.25">
      <c r="B28" s="154" t="s">
        <v>53</v>
      </c>
      <c r="C28" s="154"/>
      <c r="D28" s="154"/>
      <c r="E28" s="154"/>
      <c r="F28" s="154"/>
      <c r="G28" s="154"/>
      <c r="H28" s="154"/>
      <c r="I28" s="154"/>
      <c r="J28" s="69"/>
      <c r="K28" s="8"/>
      <c r="L28" s="8"/>
      <c r="M28" s="8"/>
      <c r="N28" s="8"/>
      <c r="AD28" s="49">
        <f>+H43</f>
        <v>0</v>
      </c>
      <c r="AE28" s="97" t="e">
        <f>(AG4/H45)*AD28</f>
        <v>#DIV/0!</v>
      </c>
      <c r="AF28" s="49"/>
      <c r="AK28"/>
    </row>
    <row r="29" spans="2:37" ht="14.45" x14ac:dyDescent="0.3">
      <c r="B29" s="75" t="s">
        <v>42</v>
      </c>
      <c r="C29" s="75" t="s">
        <v>43</v>
      </c>
      <c r="D29" s="75" t="s">
        <v>44</v>
      </c>
      <c r="E29" s="75" t="s">
        <v>45</v>
      </c>
      <c r="F29" s="75" t="s">
        <v>54</v>
      </c>
      <c r="G29" s="75" t="s">
        <v>55</v>
      </c>
      <c r="H29" s="75" t="s">
        <v>56</v>
      </c>
      <c r="I29" s="75" t="s">
        <v>57</v>
      </c>
      <c r="J29" s="76"/>
      <c r="AD29" s="1">
        <f>SUM(AD10:AD28)</f>
        <v>0</v>
      </c>
      <c r="AE29" s="1" t="e">
        <f>SUM(AE10:AE28)</f>
        <v>#DIV/0!</v>
      </c>
      <c r="AF29" s="49"/>
      <c r="AK29"/>
    </row>
    <row r="30" spans="2:37" ht="82.9" x14ac:dyDescent="0.3">
      <c r="B30" s="55" t="s">
        <v>58</v>
      </c>
      <c r="C30" s="77" t="s">
        <v>59</v>
      </c>
      <c r="D30" s="55" t="s">
        <v>60</v>
      </c>
      <c r="E30" s="55" t="s">
        <v>61</v>
      </c>
      <c r="F30" s="55" t="s">
        <v>62</v>
      </c>
      <c r="G30" s="55" t="s">
        <v>63</v>
      </c>
      <c r="H30" s="55" t="s">
        <v>64</v>
      </c>
      <c r="I30" s="55" t="s">
        <v>65</v>
      </c>
      <c r="J30" s="78"/>
      <c r="M30" s="78"/>
      <c r="AK30"/>
    </row>
    <row r="31" spans="2:37" ht="17.45" x14ac:dyDescent="0.3">
      <c r="B31" s="56"/>
      <c r="C31" s="65"/>
      <c r="D31" s="55"/>
      <c r="E31" s="55"/>
      <c r="F31" s="55"/>
      <c r="G31" s="65" t="s">
        <v>66</v>
      </c>
      <c r="H31" s="65" t="s">
        <v>67</v>
      </c>
      <c r="I31" s="65" t="s">
        <v>68</v>
      </c>
      <c r="J31" s="79"/>
      <c r="Q31" s="80"/>
      <c r="AC31" s="98" t="s">
        <v>83</v>
      </c>
      <c r="AD31" s="98" t="s">
        <v>11</v>
      </c>
      <c r="AK31"/>
    </row>
    <row r="32" spans="2:37" ht="15" x14ac:dyDescent="0.25">
      <c r="B32" s="71" t="s">
        <v>69</v>
      </c>
      <c r="C32" s="65"/>
      <c r="D32" s="55"/>
      <c r="E32" s="55"/>
      <c r="F32" s="55"/>
      <c r="G32" s="55"/>
      <c r="H32" s="77"/>
      <c r="I32" s="77"/>
      <c r="J32" s="79"/>
      <c r="AC32" s="98">
        <v>16</v>
      </c>
      <c r="AD32" s="99" t="e">
        <f ca="1">10^(FORECAST(AC32,LOG(OFFSET(AC$10:AC$27,MATCH(AC32,AJ$10:AJ$27,-1)-1,0,2)),OFFSET(AJ$10:AJ$27,MATCH(AC32,AJ$10:AJ$27,-1)-1,0,2)))</f>
        <v>#N/A</v>
      </c>
      <c r="AK32"/>
    </row>
    <row r="33" spans="2:37" ht="15" x14ac:dyDescent="0.25">
      <c r="B33" s="71" t="s">
        <v>70</v>
      </c>
      <c r="C33" s="67"/>
      <c r="D33" s="55"/>
      <c r="E33" s="55"/>
      <c r="F33" s="55"/>
      <c r="G33" s="55"/>
      <c r="H33" s="77"/>
      <c r="I33" s="108"/>
      <c r="J33" s="79"/>
      <c r="AC33" s="98">
        <v>50</v>
      </c>
      <c r="AD33" s="99" t="e">
        <f ca="1">10^(FORECAST(AC33,LOG(OFFSET(AC$10:AC$27,MATCH(AC33,AJ$10:AJ$27,-1)-1,0,2)),OFFSET(AJ$10:AJ$27,MATCH(AC33,AJ$10:AJ$27,-1)-1,0,2)))</f>
        <v>#N/A</v>
      </c>
      <c r="AK33"/>
    </row>
    <row r="34" spans="2:37" ht="15" x14ac:dyDescent="0.25">
      <c r="B34" s="71" t="s">
        <v>71</v>
      </c>
      <c r="C34" s="67"/>
      <c r="D34" s="55"/>
      <c r="E34" s="55"/>
      <c r="F34" s="55"/>
      <c r="G34" s="55"/>
      <c r="H34" s="108"/>
      <c r="I34" s="108"/>
      <c r="J34" s="79"/>
      <c r="AC34" s="98">
        <v>84</v>
      </c>
      <c r="AD34" s="99" t="e">
        <f ca="1">10^(FORECAST(AC34,LOG(OFFSET(AC$10:AC$27,MATCH(AC34,AJ$10:AJ$27,-1)-1,0,2)),OFFSET(AJ$10:AJ$27,MATCH(AC34,AJ$10:AJ$27,-1)-1,0,2)))</f>
        <v>#N/A</v>
      </c>
      <c r="AK34"/>
    </row>
    <row r="35" spans="2:37" ht="15" x14ac:dyDescent="0.25">
      <c r="B35" s="71" t="s">
        <v>72</v>
      </c>
      <c r="C35" s="67"/>
      <c r="D35" s="81"/>
      <c r="E35" s="81"/>
      <c r="F35" s="55"/>
      <c r="G35" s="55"/>
      <c r="H35" s="108"/>
      <c r="I35" s="108"/>
      <c r="J35" s="79"/>
      <c r="AC35" s="98">
        <v>90</v>
      </c>
      <c r="AD35" s="99" t="e">
        <f ca="1">10^(FORECAST(AC35,LOG(OFFSET(AC$10:AC$27,MATCH(AC35,AJ$10:AJ$27,-1)-1,0,2)),OFFSET(AJ$10:AJ$27,MATCH(AC35,AJ$10:AJ$27,-1)-1,0,2)))</f>
        <v>#N/A</v>
      </c>
      <c r="AF35"/>
      <c r="AG35"/>
      <c r="AH35"/>
      <c r="AI35"/>
      <c r="AJ35"/>
      <c r="AK35"/>
    </row>
    <row r="36" spans="2:37" ht="15" x14ac:dyDescent="0.25">
      <c r="B36" s="82" t="s">
        <v>73</v>
      </c>
      <c r="C36" s="67"/>
      <c r="D36" s="67"/>
      <c r="E36" s="67"/>
      <c r="F36" s="55"/>
      <c r="G36" s="55"/>
      <c r="H36" s="108"/>
      <c r="I36" s="108"/>
      <c r="J36" s="8"/>
      <c r="AC36" s="100"/>
      <c r="AD36" s="100"/>
      <c r="AE36"/>
      <c r="AF36"/>
      <c r="AG36"/>
      <c r="AH36"/>
      <c r="AI36"/>
      <c r="AJ36"/>
      <c r="AK36"/>
    </row>
    <row r="37" spans="2:37" ht="15" x14ac:dyDescent="0.25">
      <c r="B37" s="82" t="s">
        <v>74</v>
      </c>
      <c r="C37" s="67"/>
      <c r="D37" s="67"/>
      <c r="E37" s="67"/>
      <c r="F37" s="55"/>
      <c r="G37" s="55"/>
      <c r="H37" s="108"/>
      <c r="I37" s="108"/>
      <c r="J37" s="8"/>
      <c r="AC37" s="98" t="s">
        <v>84</v>
      </c>
      <c r="AD37" s="99" t="e">
        <f ca="1">0.5*(AD34/AD33+AD33/AD32)</f>
        <v>#N/A</v>
      </c>
      <c r="AE37"/>
      <c r="AF37"/>
      <c r="AG37"/>
      <c r="AH37"/>
      <c r="AI37"/>
      <c r="AJ37"/>
      <c r="AK37"/>
    </row>
    <row r="38" spans="2:37" ht="15" x14ac:dyDescent="0.25">
      <c r="B38" s="67">
        <v>45</v>
      </c>
      <c r="C38" s="67"/>
      <c r="D38" s="67"/>
      <c r="E38" s="67"/>
      <c r="F38" s="55"/>
      <c r="G38" s="55"/>
      <c r="H38" s="108"/>
      <c r="I38" s="108"/>
      <c r="J38" s="8"/>
      <c r="AC38" s="100" t="s">
        <v>85</v>
      </c>
      <c r="AD38" s="99" t="e">
        <f>100-AJ22</f>
        <v>#DIV/0!</v>
      </c>
      <c r="AE38"/>
      <c r="AF38"/>
      <c r="AG38"/>
      <c r="AH38"/>
      <c r="AI38"/>
      <c r="AJ38"/>
      <c r="AK38"/>
    </row>
    <row r="39" spans="2:37" ht="15" x14ac:dyDescent="0.25">
      <c r="B39" s="67">
        <v>32</v>
      </c>
      <c r="C39" s="67"/>
      <c r="D39" s="67"/>
      <c r="E39" s="67"/>
      <c r="F39" s="55"/>
      <c r="G39" s="55"/>
      <c r="H39" s="108"/>
      <c r="I39" s="108"/>
      <c r="J39" s="8"/>
      <c r="AC39" s="100" t="s">
        <v>86</v>
      </c>
      <c r="AD39" s="99" t="e">
        <f>AJ22-AJ27</f>
        <v>#DIV/0!</v>
      </c>
      <c r="AE39"/>
      <c r="AF39"/>
      <c r="AG39"/>
      <c r="AH39"/>
      <c r="AI39"/>
      <c r="AJ39"/>
      <c r="AK39"/>
    </row>
    <row r="40" spans="2:37" ht="15" x14ac:dyDescent="0.25">
      <c r="B40" s="67">
        <v>22.5</v>
      </c>
      <c r="C40" s="67"/>
      <c r="D40" s="67"/>
      <c r="E40" s="67"/>
      <c r="F40" s="55"/>
      <c r="G40" s="55"/>
      <c r="H40" s="108"/>
      <c r="I40" s="108"/>
      <c r="J40" s="8"/>
      <c r="AC40" s="98" t="s">
        <v>87</v>
      </c>
      <c r="AD40" s="99" t="e">
        <f>AJ27</f>
        <v>#DIV/0!</v>
      </c>
      <c r="AE40"/>
      <c r="AF40"/>
      <c r="AG40"/>
      <c r="AH40"/>
      <c r="AI40"/>
      <c r="AJ40"/>
      <c r="AK40"/>
    </row>
    <row r="41" spans="2:37" ht="15" x14ac:dyDescent="0.25">
      <c r="B41" s="67">
        <v>16</v>
      </c>
      <c r="C41" s="67"/>
      <c r="D41" s="67"/>
      <c r="E41" s="67"/>
      <c r="F41" s="55"/>
      <c r="G41" s="55"/>
      <c r="H41" s="108"/>
      <c r="I41" s="108"/>
      <c r="J41" s="8"/>
      <c r="AC41"/>
      <c r="AD41"/>
      <c r="AE41"/>
      <c r="AF41"/>
      <c r="AG41"/>
      <c r="AH41"/>
      <c r="AI41"/>
      <c r="AJ41"/>
      <c r="AK41"/>
    </row>
    <row r="42" spans="2:37" ht="15" x14ac:dyDescent="0.25">
      <c r="B42" s="67">
        <v>8</v>
      </c>
      <c r="C42" s="67"/>
      <c r="D42" s="67"/>
      <c r="E42" s="67"/>
      <c r="F42" s="55"/>
      <c r="G42" s="67"/>
      <c r="H42" s="108"/>
      <c r="I42" s="108"/>
      <c r="J42" s="8"/>
      <c r="AC42"/>
      <c r="AD42"/>
      <c r="AE42"/>
      <c r="AF42"/>
      <c r="AG42"/>
      <c r="AH42"/>
      <c r="AI42"/>
      <c r="AJ42"/>
      <c r="AK42"/>
    </row>
    <row r="43" spans="2:37" ht="15" x14ac:dyDescent="0.25">
      <c r="B43" s="71" t="s">
        <v>115</v>
      </c>
      <c r="C43" s="67"/>
      <c r="D43" s="67"/>
      <c r="E43" s="67"/>
      <c r="F43" s="55"/>
      <c r="G43" s="67"/>
      <c r="H43" s="108"/>
      <c r="I43" s="108"/>
      <c r="J43" s="8"/>
      <c r="AC43"/>
      <c r="AD43"/>
      <c r="AE43"/>
      <c r="AF43"/>
      <c r="AG43"/>
      <c r="AH43"/>
      <c r="AI43"/>
      <c r="AJ43"/>
      <c r="AK43"/>
    </row>
    <row r="44" spans="2:37" ht="15" x14ac:dyDescent="0.25">
      <c r="B44" s="71" t="s">
        <v>52</v>
      </c>
      <c r="C44" s="67"/>
      <c r="D44" s="67"/>
      <c r="E44" s="56"/>
      <c r="F44" s="67"/>
      <c r="G44" s="67"/>
      <c r="H44" s="106"/>
      <c r="I44" s="106"/>
      <c r="J44" s="8"/>
      <c r="AC44"/>
      <c r="AD44"/>
      <c r="AE44"/>
      <c r="AF44"/>
      <c r="AG44"/>
      <c r="AH44"/>
      <c r="AI44"/>
      <c r="AJ44"/>
      <c r="AK44"/>
    </row>
    <row r="45" spans="2:37" ht="29.25" x14ac:dyDescent="0.25">
      <c r="B45" s="83" t="s">
        <v>116</v>
      </c>
      <c r="C45" s="84"/>
      <c r="D45" s="145"/>
      <c r="E45" s="26"/>
      <c r="F45" s="146"/>
      <c r="G45" s="26"/>
      <c r="H45" s="106"/>
      <c r="I45" s="109"/>
      <c r="J45" s="8"/>
      <c r="AC45"/>
      <c r="AD45"/>
      <c r="AE45"/>
      <c r="AF45"/>
      <c r="AG45"/>
      <c r="AH45"/>
      <c r="AI45"/>
      <c r="AJ45"/>
      <c r="AK45"/>
    </row>
    <row r="46" spans="2:37" ht="15" x14ac:dyDescent="0.25">
      <c r="B46" s="85" t="s">
        <v>75</v>
      </c>
      <c r="J46" s="8"/>
      <c r="AC46"/>
      <c r="AD46"/>
      <c r="AE46"/>
      <c r="AF46"/>
      <c r="AG46"/>
      <c r="AH46"/>
      <c r="AI46"/>
      <c r="AJ46"/>
      <c r="AK46"/>
    </row>
    <row r="47" spans="2:37" ht="15" x14ac:dyDescent="0.25">
      <c r="B47" s="85"/>
      <c r="J47" s="8"/>
      <c r="AC47"/>
      <c r="AD47"/>
      <c r="AE47"/>
      <c r="AF47"/>
      <c r="AG47"/>
      <c r="AH47"/>
      <c r="AI47"/>
      <c r="AJ47"/>
      <c r="AK47"/>
    </row>
    <row r="48" spans="2:37" ht="15.75" x14ac:dyDescent="0.25">
      <c r="B48" s="155" t="s">
        <v>76</v>
      </c>
      <c r="C48" s="155"/>
      <c r="D48" s="155"/>
      <c r="E48" s="86"/>
      <c r="F48" s="68"/>
      <c r="G48" s="87" t="s">
        <v>77</v>
      </c>
      <c r="H48" s="88"/>
      <c r="I48" s="86"/>
      <c r="J48" s="8"/>
      <c r="Q48" s="89"/>
      <c r="AC48"/>
      <c r="AD48"/>
      <c r="AE48"/>
      <c r="AF48"/>
      <c r="AG48"/>
      <c r="AH48"/>
      <c r="AI48"/>
      <c r="AJ48"/>
      <c r="AK48"/>
    </row>
    <row r="49" spans="2:37" ht="15" x14ac:dyDescent="0.25">
      <c r="B49" s="156" t="s">
        <v>78</v>
      </c>
      <c r="C49" s="156"/>
      <c r="D49" s="156"/>
      <c r="E49" s="87"/>
      <c r="AC49"/>
      <c r="AD49"/>
      <c r="AE49"/>
      <c r="AF49"/>
      <c r="AG49"/>
      <c r="AH49"/>
      <c r="AI49"/>
      <c r="AJ49"/>
      <c r="AK49"/>
    </row>
    <row r="50" spans="2:37" ht="15" x14ac:dyDescent="0.25">
      <c r="B50" s="73"/>
      <c r="C50" s="73"/>
      <c r="D50" s="73"/>
      <c r="AC50"/>
      <c r="AD50"/>
      <c r="AE50"/>
      <c r="AF50"/>
      <c r="AG50"/>
      <c r="AH50"/>
      <c r="AI50"/>
      <c r="AJ50"/>
      <c r="AK50"/>
    </row>
    <row r="51" spans="2:37" ht="15" x14ac:dyDescent="0.25">
      <c r="B51" s="157" t="s">
        <v>79</v>
      </c>
      <c r="C51" s="157"/>
      <c r="D51" s="157"/>
      <c r="E51" s="157"/>
      <c r="F51" s="157"/>
      <c r="G51" s="157"/>
      <c r="H51" s="157"/>
      <c r="I51" s="157"/>
      <c r="J51" s="90"/>
      <c r="AC51"/>
      <c r="AD51"/>
      <c r="AE51"/>
      <c r="AF51"/>
      <c r="AG51"/>
      <c r="AH51"/>
      <c r="AI51"/>
      <c r="AJ51"/>
      <c r="AK51"/>
    </row>
    <row r="52" spans="2:37" ht="15" x14ac:dyDescent="0.25">
      <c r="B52" s="157"/>
      <c r="C52" s="157"/>
      <c r="D52" s="157"/>
      <c r="E52" s="157"/>
      <c r="F52" s="157"/>
      <c r="G52" s="157"/>
      <c r="H52" s="157"/>
      <c r="I52" s="157"/>
      <c r="J52" s="90"/>
      <c r="AC52"/>
      <c r="AD52"/>
      <c r="AE52"/>
      <c r="AF52"/>
      <c r="AG52"/>
      <c r="AH52"/>
      <c r="AI52"/>
      <c r="AJ52"/>
      <c r="AK52"/>
    </row>
    <row r="53" spans="2:37" ht="15" x14ac:dyDescent="0.25">
      <c r="B53" s="6" t="s">
        <v>80</v>
      </c>
      <c r="C53" s="6"/>
      <c r="E53" s="1" t="s">
        <v>81</v>
      </c>
      <c r="F53" s="6"/>
      <c r="G53" s="91"/>
      <c r="H53" s="41" t="s">
        <v>82</v>
      </c>
      <c r="I53" s="129"/>
      <c r="J53" s="1" t="s">
        <v>118</v>
      </c>
      <c r="K53" s="6"/>
      <c r="AC53"/>
      <c r="AD53"/>
      <c r="AE53"/>
      <c r="AF53"/>
      <c r="AG53"/>
      <c r="AH53"/>
      <c r="AI53"/>
      <c r="AJ53"/>
      <c r="AK53"/>
    </row>
    <row r="54" spans="2:37" ht="15" x14ac:dyDescent="0.25">
      <c r="J54" s="72"/>
      <c r="AC54"/>
      <c r="AD54"/>
      <c r="AE54"/>
      <c r="AF54"/>
      <c r="AG54"/>
      <c r="AH54"/>
      <c r="AI54"/>
      <c r="AJ54"/>
      <c r="AK54"/>
    </row>
    <row r="55" spans="2:37" ht="15" x14ac:dyDescent="0.25">
      <c r="J55" s="72"/>
      <c r="AC55"/>
      <c r="AD55"/>
      <c r="AE55"/>
      <c r="AF55"/>
      <c r="AG55"/>
      <c r="AH55"/>
      <c r="AI55"/>
      <c r="AJ55"/>
      <c r="AK55"/>
    </row>
    <row r="56" spans="2:37" ht="15" x14ac:dyDescent="0.25">
      <c r="J56" s="72"/>
      <c r="AC56"/>
      <c r="AD56"/>
      <c r="AE56"/>
      <c r="AF56"/>
      <c r="AG56"/>
      <c r="AH56"/>
      <c r="AI56"/>
      <c r="AJ56"/>
      <c r="AK56"/>
    </row>
    <row r="57" spans="2:37" ht="15" x14ac:dyDescent="0.25">
      <c r="J57" s="72"/>
      <c r="AC57"/>
      <c r="AD57"/>
      <c r="AE57"/>
      <c r="AF57"/>
      <c r="AG57"/>
      <c r="AH57"/>
      <c r="AI57"/>
      <c r="AJ57"/>
      <c r="AK57"/>
    </row>
    <row r="58" spans="2:37" ht="15" x14ac:dyDescent="0.25">
      <c r="B58" s="8"/>
      <c r="C58" s="8"/>
      <c r="AC58"/>
      <c r="AD58"/>
      <c r="AE58"/>
      <c r="AF58"/>
      <c r="AG58"/>
      <c r="AH58"/>
      <c r="AI58"/>
      <c r="AJ58"/>
      <c r="AK58"/>
    </row>
  </sheetData>
  <mergeCells count="8">
    <mergeCell ref="B28:I28"/>
    <mergeCell ref="B48:D48"/>
    <mergeCell ref="B49:D49"/>
    <mergeCell ref="B51:I52"/>
    <mergeCell ref="AC1:AJ1"/>
    <mergeCell ref="B3:J3"/>
    <mergeCell ref="AD7:AG7"/>
    <mergeCell ref="B12:E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2"/>
  <sheetViews>
    <sheetView topLeftCell="A10" zoomScale="90" zoomScaleNormal="90" workbookViewId="0">
      <selection activeCell="X49" sqref="X49"/>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5" width="9.7109375" style="1" customWidth="1"/>
    <col min="6" max="6" width="11.5703125" style="1" customWidth="1"/>
    <col min="7" max="7" width="6.7109375" style="1" customWidth="1"/>
    <col min="8" max="8" width="6.7109375" style="7" customWidth="1"/>
    <col min="9" max="9" width="6.7109375" style="8" customWidth="1"/>
    <col min="10" max="12" width="9.7109375" style="8" customWidth="1"/>
    <col min="13" max="13" width="12.42578125" style="8" customWidth="1"/>
    <col min="14" max="14" width="6.7109375" style="8" customWidth="1"/>
    <col min="15" max="15" width="7.85546875" style="8" customWidth="1"/>
    <col min="16" max="16" width="6.7109375" style="8" customWidth="1"/>
    <col min="17" max="20" width="9.7109375" style="8" customWidth="1"/>
    <col min="21" max="21" width="6.7109375" style="1" customWidth="1"/>
    <col min="22"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158" t="s">
        <v>0</v>
      </c>
      <c r="C2" s="158"/>
      <c r="D2" s="158"/>
      <c r="E2" s="158"/>
      <c r="F2" s="158"/>
      <c r="G2" s="158"/>
      <c r="H2" s="158"/>
      <c r="I2" s="158"/>
      <c r="J2" s="158"/>
      <c r="K2" s="158"/>
      <c r="L2" s="158"/>
      <c r="M2" s="158"/>
      <c r="N2" s="158"/>
      <c r="O2" s="158"/>
      <c r="P2" s="158"/>
      <c r="Q2" s="158"/>
      <c r="R2" s="158"/>
      <c r="S2" s="158"/>
      <c r="T2" s="158"/>
      <c r="U2" s="158"/>
      <c r="V2" s="158"/>
      <c r="Y2" s="158" t="s">
        <v>0</v>
      </c>
      <c r="Z2" s="158"/>
      <c r="AA2" s="158"/>
      <c r="AB2" s="158"/>
      <c r="AC2" s="158"/>
      <c r="AD2" s="158"/>
      <c r="AE2" s="158"/>
      <c r="AF2" s="158"/>
    </row>
    <row r="3" spans="2:33" ht="23.25" x14ac:dyDescent="0.35">
      <c r="B3" s="4"/>
      <c r="C3" s="4"/>
      <c r="D3" s="4"/>
      <c r="E3" s="4"/>
      <c r="F3" s="4"/>
      <c r="G3" s="4"/>
      <c r="H3" s="5"/>
      <c r="I3" s="4"/>
      <c r="J3" s="4"/>
      <c r="K3" s="4"/>
      <c r="L3" s="4"/>
      <c r="M3" s="4"/>
      <c r="N3" s="4"/>
      <c r="O3" s="4"/>
      <c r="P3" s="4"/>
      <c r="Q3" s="4"/>
      <c r="R3" s="4"/>
      <c r="S3" s="4"/>
      <c r="T3" s="4"/>
      <c r="U3" s="3"/>
      <c r="Y3" s="4"/>
      <c r="Z3" s="4"/>
      <c r="AA3" s="4"/>
      <c r="AB3" s="4"/>
      <c r="AC3" s="4"/>
      <c r="AD3" s="4"/>
      <c r="AE3" s="4"/>
      <c r="AF3" s="4"/>
    </row>
    <row r="4" spans="2:33" x14ac:dyDescent="0.2">
      <c r="B4" s="169" t="s">
        <v>1</v>
      </c>
      <c r="C4" s="169"/>
      <c r="D4" s="6" t="s">
        <v>133</v>
      </c>
      <c r="E4" s="6"/>
      <c r="F4" s="6"/>
      <c r="G4" s="6"/>
      <c r="J4" s="1"/>
      <c r="K4" s="6" t="s">
        <v>2</v>
      </c>
      <c r="L4" s="6" t="s">
        <v>137</v>
      </c>
      <c r="M4" s="6"/>
      <c r="N4" s="6"/>
      <c r="O4" s="6"/>
      <c r="P4" s="6"/>
      <c r="Q4" s="6"/>
      <c r="R4" s="6"/>
      <c r="S4" s="6"/>
      <c r="T4" s="6"/>
      <c r="Y4" s="8" t="s">
        <v>1</v>
      </c>
      <c r="Z4" s="6" t="s">
        <v>133</v>
      </c>
      <c r="AA4" s="6"/>
      <c r="AB4" s="1"/>
    </row>
    <row r="5" spans="2:33" x14ac:dyDescent="0.2">
      <c r="B5" s="166" t="s">
        <v>5</v>
      </c>
      <c r="C5" s="166"/>
      <c r="D5" s="9" t="s">
        <v>134</v>
      </c>
      <c r="E5" s="9"/>
      <c r="F5" s="9"/>
      <c r="G5" s="9"/>
      <c r="J5" s="1"/>
      <c r="K5" s="166" t="s">
        <v>7</v>
      </c>
      <c r="L5" s="166"/>
      <c r="M5" s="9" t="s">
        <v>138</v>
      </c>
      <c r="N5" s="9"/>
      <c r="O5" s="9"/>
      <c r="P5" s="9"/>
      <c r="Q5" s="9"/>
      <c r="R5" s="9"/>
      <c r="S5" s="9"/>
      <c r="T5" s="9"/>
      <c r="Y5" s="8" t="s">
        <v>4</v>
      </c>
      <c r="Z5" s="9"/>
      <c r="AA5" s="9"/>
      <c r="AB5" s="1"/>
    </row>
    <row r="6" spans="2:33" ht="13.9" x14ac:dyDescent="0.25">
      <c r="B6" s="166" t="s">
        <v>6</v>
      </c>
      <c r="C6" s="166"/>
      <c r="D6" s="10">
        <v>41811</v>
      </c>
      <c r="E6" s="11">
        <v>0.5625</v>
      </c>
      <c r="F6" s="9"/>
      <c r="G6" s="9"/>
      <c r="J6" s="1"/>
      <c r="K6" s="8" t="s">
        <v>128</v>
      </c>
      <c r="M6" s="9">
        <v>3183725.6</v>
      </c>
      <c r="N6" s="9" t="s">
        <v>139</v>
      </c>
      <c r="O6" s="9"/>
      <c r="P6" s="9"/>
      <c r="Q6" s="9"/>
      <c r="R6" s="9"/>
      <c r="S6" s="9"/>
      <c r="T6" s="9"/>
      <c r="U6" s="9"/>
      <c r="V6" s="9"/>
      <c r="Y6" s="8" t="s">
        <v>6</v>
      </c>
      <c r="Z6" s="10">
        <v>41811</v>
      </c>
      <c r="AA6" s="11">
        <v>0.5625</v>
      </c>
    </row>
    <row r="7" spans="2:33" ht="13.9" x14ac:dyDescent="0.25">
      <c r="B7" s="166" t="s">
        <v>120</v>
      </c>
      <c r="C7" s="166"/>
      <c r="D7" s="9" t="s">
        <v>131</v>
      </c>
      <c r="E7" s="9"/>
      <c r="F7" s="9"/>
      <c r="G7" s="9"/>
      <c r="J7" s="13"/>
      <c r="K7" s="14" t="s">
        <v>129</v>
      </c>
      <c r="L7" s="14"/>
      <c r="M7" s="153">
        <v>1672393.5</v>
      </c>
      <c r="N7" s="9" t="s">
        <v>139</v>
      </c>
      <c r="O7" s="16"/>
      <c r="P7" s="16"/>
      <c r="Q7" s="9"/>
      <c r="R7" s="9"/>
      <c r="S7" s="9"/>
      <c r="T7" s="9"/>
      <c r="U7" s="9"/>
      <c r="V7" s="9"/>
      <c r="Y7" s="8"/>
      <c r="Z7" s="8"/>
      <c r="AA7" s="8"/>
      <c r="AE7" s="17"/>
    </row>
    <row r="8" spans="2:33" ht="13.9" x14ac:dyDescent="0.25">
      <c r="B8" s="15" t="s">
        <v>110</v>
      </c>
      <c r="C8" s="15"/>
      <c r="D8" s="9" t="s">
        <v>135</v>
      </c>
      <c r="E8" s="9"/>
      <c r="F8" s="9"/>
      <c r="G8" s="9"/>
      <c r="J8" s="13"/>
      <c r="K8" s="14" t="s">
        <v>9</v>
      </c>
      <c r="L8" s="14"/>
      <c r="M8" s="15" t="s">
        <v>140</v>
      </c>
      <c r="N8" s="16"/>
      <c r="O8" s="16"/>
      <c r="P8" s="16"/>
      <c r="Q8" s="9"/>
      <c r="R8" s="9"/>
      <c r="S8" s="9"/>
      <c r="T8" s="9"/>
      <c r="U8" s="9"/>
      <c r="V8" s="9"/>
      <c r="Y8" s="8"/>
      <c r="Z8" s="8"/>
      <c r="AA8" s="8"/>
      <c r="AE8" s="17"/>
    </row>
    <row r="9" spans="2:33" x14ac:dyDescent="0.2">
      <c r="B9" s="144" t="s">
        <v>126</v>
      </c>
      <c r="C9" s="144"/>
      <c r="D9" s="9"/>
      <c r="E9" s="9"/>
      <c r="F9" s="9"/>
      <c r="G9" s="9" t="s">
        <v>132</v>
      </c>
      <c r="K9" s="9"/>
      <c r="L9" s="9"/>
      <c r="M9" s="9"/>
      <c r="N9" s="9"/>
      <c r="O9" s="9"/>
      <c r="P9" s="9"/>
      <c r="Q9" s="9"/>
      <c r="R9" s="9"/>
      <c r="S9" s="9"/>
      <c r="T9" s="9"/>
      <c r="U9" s="9"/>
      <c r="V9" s="9"/>
      <c r="Y9" s="8" t="s">
        <v>10</v>
      </c>
      <c r="Z9" s="8"/>
      <c r="AA9" s="8"/>
      <c r="AB9" s="18"/>
      <c r="AC9" s="17"/>
      <c r="AD9" s="17"/>
      <c r="AE9" s="17"/>
    </row>
    <row r="10" spans="2:33" x14ac:dyDescent="0.2">
      <c r="B10" s="6" t="s">
        <v>127</v>
      </c>
      <c r="C10" s="6"/>
      <c r="D10" s="9" t="s">
        <v>136</v>
      </c>
      <c r="E10" s="9"/>
      <c r="F10" s="9"/>
      <c r="G10" s="9"/>
      <c r="H10" s="2"/>
      <c r="I10" s="1"/>
      <c r="J10" s="1"/>
      <c r="K10" s="9"/>
      <c r="L10" s="9"/>
      <c r="M10" s="9"/>
      <c r="N10" s="9"/>
      <c r="O10" s="9"/>
      <c r="P10" s="9"/>
      <c r="Q10" s="9"/>
      <c r="R10" s="9"/>
      <c r="S10" s="9"/>
      <c r="T10" s="9"/>
      <c r="U10" s="9"/>
      <c r="V10" s="9"/>
      <c r="Y10" s="6"/>
      <c r="Z10" s="6"/>
      <c r="AA10" s="6"/>
      <c r="AB10" s="19"/>
      <c r="AC10" s="20"/>
      <c r="AD10" s="20"/>
      <c r="AE10" s="20"/>
      <c r="AF10" s="6"/>
    </row>
    <row r="11" spans="2:33" s="8" customFormat="1" ht="15.75" x14ac:dyDescent="0.25">
      <c r="B11" s="21"/>
      <c r="C11" s="167"/>
      <c r="D11" s="167"/>
      <c r="E11" s="167"/>
      <c r="F11" s="167"/>
      <c r="G11" s="167"/>
      <c r="H11" s="167"/>
      <c r="I11" s="22"/>
      <c r="J11" s="22"/>
      <c r="K11" s="22"/>
      <c r="L11" s="22"/>
      <c r="N11" s="21"/>
      <c r="Y11" s="9"/>
      <c r="Z11" s="9"/>
      <c r="AA11" s="9"/>
      <c r="AB11" s="14"/>
      <c r="AC11" s="16"/>
      <c r="AD11" s="16"/>
      <c r="AE11" s="16"/>
      <c r="AF11" s="9"/>
      <c r="AG11" s="1"/>
    </row>
    <row r="12" spans="2:33" s="8" customFormat="1" ht="32.25" thickBot="1" x14ac:dyDescent="0.25">
      <c r="B12" s="23" t="s">
        <v>11</v>
      </c>
      <c r="C12" s="168" t="s">
        <v>12</v>
      </c>
      <c r="D12" s="168"/>
      <c r="E12" s="168"/>
      <c r="F12" s="168"/>
      <c r="G12" s="24" t="s">
        <v>13</v>
      </c>
      <c r="H12" s="24" t="s">
        <v>14</v>
      </c>
      <c r="I12" s="23" t="s">
        <v>11</v>
      </c>
      <c r="J12" s="168" t="s">
        <v>15</v>
      </c>
      <c r="K12" s="168"/>
      <c r="L12" s="168"/>
      <c r="M12" s="168"/>
      <c r="N12" s="24" t="s">
        <v>13</v>
      </c>
      <c r="O12" s="24" t="s">
        <v>14</v>
      </c>
      <c r="P12" s="23" t="s">
        <v>11</v>
      </c>
      <c r="Q12" s="168" t="s">
        <v>16</v>
      </c>
      <c r="R12" s="168"/>
      <c r="S12" s="168"/>
      <c r="T12" s="168"/>
      <c r="U12" s="24" t="s">
        <v>13</v>
      </c>
      <c r="V12" s="24" t="s">
        <v>14</v>
      </c>
      <c r="W12" s="112" t="s">
        <v>17</v>
      </c>
      <c r="X12" s="127"/>
      <c r="Y12" s="9"/>
      <c r="Z12" s="9"/>
      <c r="AA12" s="9"/>
      <c r="AB12" s="14"/>
      <c r="AC12" s="16"/>
      <c r="AD12" s="16"/>
      <c r="AE12" s="16"/>
      <c r="AF12" s="9"/>
      <c r="AG12" s="1"/>
    </row>
    <row r="13" spans="2:33" s="27" customFormat="1" ht="13.9" x14ac:dyDescent="0.25">
      <c r="B13" s="113" t="s">
        <v>18</v>
      </c>
      <c r="C13" s="170"/>
      <c r="D13" s="170"/>
      <c r="E13" s="170"/>
      <c r="F13" s="170"/>
      <c r="G13" s="25">
        <f>C13</f>
        <v>0</v>
      </c>
      <c r="H13" s="114">
        <f>G13</f>
        <v>0</v>
      </c>
      <c r="I13" s="115" t="s">
        <v>18</v>
      </c>
      <c r="J13" s="170"/>
      <c r="K13" s="170"/>
      <c r="L13" s="170"/>
      <c r="M13" s="170"/>
      <c r="N13" s="25">
        <f>J13</f>
        <v>0</v>
      </c>
      <c r="O13" s="114">
        <f>N13</f>
        <v>0</v>
      </c>
      <c r="P13" s="115" t="s">
        <v>18</v>
      </c>
      <c r="Q13" s="170"/>
      <c r="R13" s="170"/>
      <c r="S13" s="170"/>
      <c r="T13" s="170"/>
      <c r="U13" s="25">
        <f>Q13</f>
        <v>0</v>
      </c>
      <c r="V13" s="114"/>
      <c r="W13" s="116">
        <f>AVERAGE(V13,O13,H13)</f>
        <v>0</v>
      </c>
      <c r="X13" s="33"/>
      <c r="Y13" s="9"/>
      <c r="Z13" s="9"/>
      <c r="AA13" s="9"/>
      <c r="AB13" s="14"/>
      <c r="AC13" s="16"/>
      <c r="AD13" s="16"/>
      <c r="AE13" s="16"/>
      <c r="AF13" s="9"/>
      <c r="AG13" s="1"/>
    </row>
    <row r="14" spans="2:33" s="27" customFormat="1" ht="13.9" x14ac:dyDescent="0.25">
      <c r="B14" s="117">
        <v>2</v>
      </c>
      <c r="C14" s="171"/>
      <c r="D14" s="171"/>
      <c r="E14" s="171"/>
      <c r="F14" s="171"/>
      <c r="G14" s="28">
        <f>C14</f>
        <v>0</v>
      </c>
      <c r="H14" s="118">
        <v>0</v>
      </c>
      <c r="I14" s="119">
        <v>2</v>
      </c>
      <c r="J14" s="171"/>
      <c r="K14" s="171"/>
      <c r="L14" s="171"/>
      <c r="M14" s="171"/>
      <c r="N14" s="28">
        <f>J14</f>
        <v>0</v>
      </c>
      <c r="O14" s="118"/>
      <c r="P14" s="119">
        <v>2</v>
      </c>
      <c r="Q14" s="171"/>
      <c r="R14" s="171"/>
      <c r="S14" s="171"/>
      <c r="T14" s="171"/>
      <c r="U14" s="28">
        <f>Q14</f>
        <v>0</v>
      </c>
      <c r="V14" s="118">
        <v>0</v>
      </c>
      <c r="W14" s="120">
        <f>AVERAGE(V14,O14,H14)</f>
        <v>0</v>
      </c>
      <c r="X14" s="33"/>
      <c r="Y14" s="9"/>
      <c r="Z14" s="9"/>
      <c r="AA14" s="9"/>
      <c r="AB14" s="14"/>
      <c r="AC14" s="16"/>
      <c r="AD14" s="16"/>
      <c r="AE14" s="16"/>
      <c r="AF14" s="9"/>
      <c r="AG14" s="1"/>
    </row>
    <row r="15" spans="2:33" s="27" customFormat="1" ht="13.9" x14ac:dyDescent="0.25">
      <c r="B15" s="121">
        <v>2.8</v>
      </c>
      <c r="C15" s="171"/>
      <c r="D15" s="171"/>
      <c r="E15" s="171"/>
      <c r="F15" s="171"/>
      <c r="G15" s="28">
        <f>C15+G14</f>
        <v>0</v>
      </c>
      <c r="H15" s="118">
        <f>100*G14/SUM(G$14:G$31)+H14</f>
        <v>0</v>
      </c>
      <c r="I15" s="122">
        <v>2.8</v>
      </c>
      <c r="J15" s="171"/>
      <c r="K15" s="171"/>
      <c r="L15" s="171"/>
      <c r="M15" s="171"/>
      <c r="N15" s="28">
        <f>J15+N14</f>
        <v>0</v>
      </c>
      <c r="O15" s="118"/>
      <c r="P15" s="122">
        <v>2.8</v>
      </c>
      <c r="Q15" s="171"/>
      <c r="R15" s="171"/>
      <c r="S15" s="171"/>
      <c r="T15" s="171"/>
      <c r="U15" s="28">
        <f>Q15+U14</f>
        <v>0</v>
      </c>
      <c r="V15" s="118">
        <f>100*U14/SUM(U$14:U$31)+V14</f>
        <v>0</v>
      </c>
      <c r="W15" s="120">
        <f t="shared" ref="W15:W26" si="0">AVERAGE(V15,O15,H15)</f>
        <v>0</v>
      </c>
      <c r="X15" s="33"/>
      <c r="Y15" s="9"/>
      <c r="Z15" s="9"/>
      <c r="AA15" s="9"/>
      <c r="AB15" s="14"/>
      <c r="AC15" s="16"/>
      <c r="AD15" s="16"/>
      <c r="AE15" s="16"/>
      <c r="AF15" s="9"/>
      <c r="AG15" s="1"/>
    </row>
    <row r="16" spans="2:33" s="27" customFormat="1" ht="13.9" x14ac:dyDescent="0.25">
      <c r="B16" s="117">
        <v>4</v>
      </c>
      <c r="C16" s="171"/>
      <c r="D16" s="171"/>
      <c r="E16" s="171"/>
      <c r="F16" s="171"/>
      <c r="G16" s="28">
        <f t="shared" ref="G16:G17" si="1">C16+G15</f>
        <v>0</v>
      </c>
      <c r="H16" s="118">
        <f>100*G15/SUM(G$14:G$31)+H15</f>
        <v>0</v>
      </c>
      <c r="I16" s="119">
        <v>4</v>
      </c>
      <c r="J16" s="171"/>
      <c r="K16" s="171"/>
      <c r="L16" s="171"/>
      <c r="M16" s="171"/>
      <c r="N16" s="28">
        <f t="shared" ref="N16:N30" si="2">J16+N15</f>
        <v>0</v>
      </c>
      <c r="O16" s="118"/>
      <c r="P16" s="119">
        <v>4</v>
      </c>
      <c r="Q16" s="171"/>
      <c r="R16" s="171"/>
      <c r="S16" s="171"/>
      <c r="T16" s="171"/>
      <c r="U16" s="28">
        <f t="shared" ref="U16:U18" si="3">Q16+U15</f>
        <v>0</v>
      </c>
      <c r="V16" s="118">
        <f>100*U15/SUM(U$14:U$31)+V15</f>
        <v>0</v>
      </c>
      <c r="W16" s="120">
        <f t="shared" si="0"/>
        <v>0</v>
      </c>
      <c r="X16" s="33"/>
      <c r="Y16" s="9"/>
      <c r="Z16" s="9"/>
      <c r="AA16" s="9"/>
      <c r="AB16" s="14"/>
      <c r="AC16" s="9"/>
      <c r="AD16" s="9"/>
      <c r="AE16" s="9"/>
      <c r="AF16" s="9"/>
      <c r="AG16" s="1"/>
    </row>
    <row r="17" spans="2:33" s="27" customFormat="1" ht="18" x14ac:dyDescent="0.25">
      <c r="B17" s="117">
        <v>5.6</v>
      </c>
      <c r="C17" s="171"/>
      <c r="D17" s="171"/>
      <c r="E17" s="171"/>
      <c r="F17" s="171"/>
      <c r="G17" s="28">
        <f t="shared" si="1"/>
        <v>0</v>
      </c>
      <c r="H17" s="189">
        <f>100*G16/SUM(G$14:G$31)+H16</f>
        <v>0</v>
      </c>
      <c r="I17" s="119">
        <v>5.6</v>
      </c>
      <c r="J17" s="171"/>
      <c r="K17" s="171"/>
      <c r="L17" s="171"/>
      <c r="M17" s="171"/>
      <c r="N17" s="28">
        <f t="shared" si="2"/>
        <v>0</v>
      </c>
      <c r="O17" s="118"/>
      <c r="P17" s="119">
        <v>5.6</v>
      </c>
      <c r="Q17" s="171"/>
      <c r="R17" s="171"/>
      <c r="S17" s="171"/>
      <c r="T17" s="171"/>
      <c r="U17" s="28">
        <f t="shared" si="3"/>
        <v>0</v>
      </c>
      <c r="V17" s="189">
        <f>100*U16/SUM(U$14:U$31)+V16</f>
        <v>0</v>
      </c>
      <c r="W17" s="120">
        <f t="shared" si="0"/>
        <v>0</v>
      </c>
      <c r="X17" s="33"/>
      <c r="Y17" s="29" t="s">
        <v>19</v>
      </c>
      <c r="Z17" s="30"/>
      <c r="AA17" s="30"/>
      <c r="AB17" s="31"/>
      <c r="AC17" s="32"/>
      <c r="AD17" s="32"/>
      <c r="AE17" s="32"/>
      <c r="AF17" s="32"/>
      <c r="AG17" s="1"/>
    </row>
    <row r="18" spans="2:33" s="27" customFormat="1" x14ac:dyDescent="0.2">
      <c r="B18" s="117">
        <v>8</v>
      </c>
      <c r="C18" s="171"/>
      <c r="D18" s="171"/>
      <c r="E18" s="171"/>
      <c r="F18" s="171"/>
      <c r="G18" s="28">
        <v>3</v>
      </c>
      <c r="H18" s="189">
        <f>100*G17/SUM(G$14:G$31)+H17</f>
        <v>0</v>
      </c>
      <c r="I18" s="119">
        <v>8</v>
      </c>
      <c r="J18" s="171"/>
      <c r="K18" s="171"/>
      <c r="L18" s="171"/>
      <c r="M18" s="171"/>
      <c r="N18" s="28">
        <f t="shared" si="2"/>
        <v>0</v>
      </c>
      <c r="O18" s="118"/>
      <c r="P18" s="119">
        <v>8</v>
      </c>
      <c r="Q18" s="171"/>
      <c r="R18" s="171"/>
      <c r="S18" s="171"/>
      <c r="T18" s="171"/>
      <c r="U18" s="28">
        <f t="shared" si="3"/>
        <v>0</v>
      </c>
      <c r="V18" s="189">
        <f>100*U17/SUM(U$14:U$31)+V17</f>
        <v>0</v>
      </c>
      <c r="W18" s="120">
        <f t="shared" si="0"/>
        <v>0</v>
      </c>
      <c r="X18" s="33"/>
      <c r="Y18" s="32" t="s">
        <v>20</v>
      </c>
      <c r="Z18" s="172" t="s">
        <v>21</v>
      </c>
      <c r="AA18" s="172"/>
      <c r="AB18" s="172"/>
      <c r="AC18" s="172"/>
      <c r="AD18" s="172"/>
      <c r="AE18" s="172"/>
      <c r="AF18" s="172"/>
      <c r="AG18" s="8"/>
    </row>
    <row r="19" spans="2:33" s="27" customFormat="1" x14ac:dyDescent="0.2">
      <c r="B19" s="117">
        <v>11</v>
      </c>
      <c r="C19" s="171"/>
      <c r="D19" s="171"/>
      <c r="E19" s="171"/>
      <c r="F19" s="171"/>
      <c r="G19" s="28">
        <v>2</v>
      </c>
      <c r="H19" s="189">
        <f>100*G18/SUM(G$14:G$31)+H18</f>
        <v>2.9702970297029703</v>
      </c>
      <c r="I19" s="119">
        <v>11</v>
      </c>
      <c r="J19" s="171"/>
      <c r="K19" s="171"/>
      <c r="L19" s="171"/>
      <c r="M19" s="171"/>
      <c r="N19" s="28">
        <f t="shared" si="2"/>
        <v>0</v>
      </c>
      <c r="O19" s="118"/>
      <c r="P19" s="119">
        <v>11</v>
      </c>
      <c r="Q19" s="171"/>
      <c r="R19" s="171"/>
      <c r="S19" s="171"/>
      <c r="T19" s="171"/>
      <c r="U19" s="28">
        <v>1</v>
      </c>
      <c r="V19" s="189">
        <f>100*U18/SUM(U$14:U$31)+V18</f>
        <v>0</v>
      </c>
      <c r="W19" s="120">
        <f>AVERAGE(V19,O19,H19)</f>
        <v>1.4851485148514851</v>
      </c>
      <c r="X19" s="33"/>
      <c r="Y19" s="148">
        <v>195</v>
      </c>
      <c r="Z19" s="173" t="s">
        <v>141</v>
      </c>
      <c r="AA19" s="173"/>
      <c r="AB19" s="173"/>
      <c r="AC19" s="173"/>
      <c r="AD19" s="173"/>
      <c r="AE19" s="173"/>
      <c r="AF19" s="173"/>
    </row>
    <row r="20" spans="2:33" s="27" customFormat="1" x14ac:dyDescent="0.2">
      <c r="B20" s="117">
        <v>16</v>
      </c>
      <c r="C20" s="171"/>
      <c r="D20" s="171"/>
      <c r="E20" s="171"/>
      <c r="F20" s="171"/>
      <c r="G20" s="28">
        <v>2</v>
      </c>
      <c r="H20" s="189">
        <f>100*G19/SUM(G$14:G$31)+H19</f>
        <v>4.9504950495049505</v>
      </c>
      <c r="I20" s="119">
        <v>16</v>
      </c>
      <c r="J20" s="171"/>
      <c r="K20" s="171"/>
      <c r="L20" s="171"/>
      <c r="M20" s="171"/>
      <c r="N20" s="28">
        <f t="shared" si="2"/>
        <v>0</v>
      </c>
      <c r="O20" s="118"/>
      <c r="P20" s="119">
        <v>16</v>
      </c>
      <c r="Q20" s="171"/>
      <c r="R20" s="171"/>
      <c r="S20" s="171"/>
      <c r="T20" s="171"/>
      <c r="U20" s="28">
        <v>0</v>
      </c>
      <c r="V20" s="189">
        <f>100*U19/SUM(U$14:U$31)+V19</f>
        <v>1</v>
      </c>
      <c r="W20" s="120">
        <f t="shared" si="0"/>
        <v>2.9752475247524752</v>
      </c>
      <c r="X20" s="33"/>
      <c r="Y20" s="148">
        <v>197</v>
      </c>
      <c r="Z20" s="173" t="s">
        <v>142</v>
      </c>
      <c r="AA20" s="173"/>
      <c r="AB20" s="173"/>
      <c r="AC20" s="173"/>
      <c r="AD20" s="173"/>
      <c r="AE20" s="173"/>
      <c r="AF20" s="173"/>
    </row>
    <row r="21" spans="2:33" s="27" customFormat="1" x14ac:dyDescent="0.2">
      <c r="B21" s="117">
        <v>22.5</v>
      </c>
      <c r="C21" s="171"/>
      <c r="D21" s="171"/>
      <c r="E21" s="171"/>
      <c r="F21" s="171"/>
      <c r="G21" s="28">
        <v>5</v>
      </c>
      <c r="H21" s="189">
        <f>100*G20/SUM(G$14:G$31)+H20</f>
        <v>6.9306930693069306</v>
      </c>
      <c r="I21" s="119">
        <v>22.5</v>
      </c>
      <c r="J21" s="171"/>
      <c r="K21" s="171"/>
      <c r="L21" s="171"/>
      <c r="M21" s="171"/>
      <c r="N21" s="28">
        <f t="shared" si="2"/>
        <v>0</v>
      </c>
      <c r="O21" s="118"/>
      <c r="P21" s="119">
        <v>22.5</v>
      </c>
      <c r="Q21" s="171"/>
      <c r="R21" s="171"/>
      <c r="S21" s="171"/>
      <c r="T21" s="171"/>
      <c r="U21" s="28">
        <v>6</v>
      </c>
      <c r="V21" s="189">
        <f>100*U20/SUM(U$14:U$31)+V20</f>
        <v>1</v>
      </c>
      <c r="W21" s="120">
        <f t="shared" si="0"/>
        <v>3.9653465346534653</v>
      </c>
      <c r="X21" s="33"/>
      <c r="Y21" s="26"/>
      <c r="Z21" s="173"/>
      <c r="AA21" s="173"/>
      <c r="AB21" s="173"/>
      <c r="AC21" s="173"/>
      <c r="AD21" s="173"/>
      <c r="AE21" s="173"/>
      <c r="AF21" s="173"/>
    </row>
    <row r="22" spans="2:33" s="27" customFormat="1" x14ac:dyDescent="0.2">
      <c r="B22" s="117">
        <v>32</v>
      </c>
      <c r="C22" s="171"/>
      <c r="D22" s="171"/>
      <c r="E22" s="171"/>
      <c r="F22" s="171"/>
      <c r="G22" s="28">
        <v>8</v>
      </c>
      <c r="H22" s="189">
        <f>100*G21/SUM(G$14:G$31)+H21</f>
        <v>11.881188118811881</v>
      </c>
      <c r="I22" s="119">
        <v>32</v>
      </c>
      <c r="J22" s="171"/>
      <c r="K22" s="171"/>
      <c r="L22" s="171"/>
      <c r="M22" s="171"/>
      <c r="N22" s="28">
        <f t="shared" si="2"/>
        <v>0</v>
      </c>
      <c r="O22" s="118"/>
      <c r="P22" s="119">
        <v>32</v>
      </c>
      <c r="Q22" s="171"/>
      <c r="R22" s="171"/>
      <c r="S22" s="171"/>
      <c r="T22" s="171"/>
      <c r="U22" s="28">
        <v>5</v>
      </c>
      <c r="V22" s="189">
        <f>100*U21/SUM(U$14:U$31)+V21</f>
        <v>7</v>
      </c>
      <c r="W22" s="120">
        <f t="shared" si="0"/>
        <v>9.4405940594059405</v>
      </c>
      <c r="X22" s="33"/>
      <c r="Y22" s="26"/>
      <c r="Z22" s="173"/>
      <c r="AA22" s="173"/>
      <c r="AB22" s="173"/>
      <c r="AC22" s="173"/>
      <c r="AD22" s="173"/>
      <c r="AE22" s="173"/>
      <c r="AF22" s="173"/>
    </row>
    <row r="23" spans="2:33" s="27" customFormat="1" x14ac:dyDescent="0.2">
      <c r="B23" s="117">
        <v>45</v>
      </c>
      <c r="C23" s="171"/>
      <c r="D23" s="171"/>
      <c r="E23" s="171"/>
      <c r="F23" s="171"/>
      <c r="G23" s="28">
        <v>12</v>
      </c>
      <c r="H23" s="189">
        <f>100*G22/SUM(G$14:G$31)+H22</f>
        <v>19.801980198019802</v>
      </c>
      <c r="I23" s="119">
        <v>45</v>
      </c>
      <c r="J23" s="171"/>
      <c r="K23" s="171"/>
      <c r="L23" s="171"/>
      <c r="M23" s="171"/>
      <c r="N23" s="28">
        <f t="shared" si="2"/>
        <v>0</v>
      </c>
      <c r="O23" s="118"/>
      <c r="P23" s="119">
        <v>45</v>
      </c>
      <c r="Q23" s="171"/>
      <c r="R23" s="171"/>
      <c r="S23" s="171"/>
      <c r="T23" s="171"/>
      <c r="U23" s="28">
        <v>5</v>
      </c>
      <c r="V23" s="189">
        <f>100*U22/SUM(U$14:U$31)+V22</f>
        <v>12</v>
      </c>
      <c r="W23" s="120">
        <f t="shared" si="0"/>
        <v>15.900990099009901</v>
      </c>
      <c r="X23" s="33"/>
      <c r="Y23" s="26"/>
      <c r="Z23" s="173"/>
      <c r="AA23" s="173"/>
      <c r="AB23" s="173"/>
      <c r="AC23" s="173"/>
      <c r="AD23" s="173"/>
      <c r="AE23" s="173"/>
      <c r="AF23" s="173"/>
    </row>
    <row r="24" spans="2:33" s="27" customFormat="1" x14ac:dyDescent="0.2">
      <c r="B24" s="123">
        <v>64</v>
      </c>
      <c r="C24" s="171"/>
      <c r="D24" s="171"/>
      <c r="E24" s="171"/>
      <c r="F24" s="171"/>
      <c r="G24" s="28">
        <v>10</v>
      </c>
      <c r="H24" s="189">
        <f>100*G23/SUM(G$14:G$31)+H23</f>
        <v>31.683168316831683</v>
      </c>
      <c r="I24" s="124">
        <v>64</v>
      </c>
      <c r="J24" s="171"/>
      <c r="K24" s="171"/>
      <c r="L24" s="171"/>
      <c r="M24" s="171"/>
      <c r="N24" s="28">
        <f t="shared" si="2"/>
        <v>0</v>
      </c>
      <c r="O24" s="118"/>
      <c r="P24" s="124">
        <v>64</v>
      </c>
      <c r="Q24" s="171"/>
      <c r="R24" s="171"/>
      <c r="S24" s="171"/>
      <c r="T24" s="171"/>
      <c r="U24" s="28">
        <v>13</v>
      </c>
      <c r="V24" s="189">
        <f>100*U23/SUM(U$14:U$31)+V23</f>
        <v>17</v>
      </c>
      <c r="W24" s="120">
        <f t="shared" si="0"/>
        <v>24.341584158415841</v>
      </c>
      <c r="X24" s="33"/>
      <c r="Y24" s="26"/>
      <c r="Z24" s="173"/>
      <c r="AA24" s="173"/>
      <c r="AB24" s="173"/>
      <c r="AC24" s="173"/>
      <c r="AD24" s="173"/>
      <c r="AE24" s="173"/>
      <c r="AF24" s="173"/>
    </row>
    <row r="25" spans="2:33" s="27" customFormat="1" x14ac:dyDescent="0.2">
      <c r="B25" s="117">
        <v>90</v>
      </c>
      <c r="C25" s="171"/>
      <c r="D25" s="171"/>
      <c r="E25" s="171"/>
      <c r="F25" s="171"/>
      <c r="G25" s="28">
        <v>20</v>
      </c>
      <c r="H25" s="189">
        <f>100*G24/SUM(G$14:G$31)+H24</f>
        <v>41.584158415841586</v>
      </c>
      <c r="I25" s="119">
        <v>90</v>
      </c>
      <c r="J25" s="171"/>
      <c r="K25" s="171"/>
      <c r="L25" s="171"/>
      <c r="M25" s="171"/>
      <c r="N25" s="28">
        <f t="shared" si="2"/>
        <v>0</v>
      </c>
      <c r="O25" s="118"/>
      <c r="P25" s="119">
        <v>90</v>
      </c>
      <c r="Q25" s="171"/>
      <c r="R25" s="171"/>
      <c r="S25" s="171"/>
      <c r="T25" s="171"/>
      <c r="U25" s="28">
        <v>12</v>
      </c>
      <c r="V25" s="189">
        <f>100*U24/SUM(U$14:U$31)+V24</f>
        <v>30</v>
      </c>
      <c r="W25" s="120">
        <f t="shared" si="0"/>
        <v>35.792079207920793</v>
      </c>
      <c r="X25" s="33"/>
      <c r="Y25" s="26"/>
      <c r="Z25" s="173"/>
      <c r="AA25" s="173"/>
      <c r="AB25" s="173"/>
      <c r="AC25" s="173"/>
      <c r="AD25" s="173"/>
      <c r="AE25" s="173"/>
      <c r="AF25" s="173"/>
    </row>
    <row r="26" spans="2:33" s="27" customFormat="1" x14ac:dyDescent="0.2">
      <c r="B26" s="121">
        <v>128</v>
      </c>
      <c r="C26" s="171"/>
      <c r="D26" s="171"/>
      <c r="E26" s="171"/>
      <c r="F26" s="171"/>
      <c r="G26" s="28">
        <v>16</v>
      </c>
      <c r="H26" s="189">
        <f>100*G25/SUM(G$14:G$31)+H25</f>
        <v>61.386138613861391</v>
      </c>
      <c r="I26" s="122">
        <v>128</v>
      </c>
      <c r="J26" s="171"/>
      <c r="K26" s="171"/>
      <c r="L26" s="171"/>
      <c r="M26" s="171"/>
      <c r="N26" s="28">
        <f t="shared" si="2"/>
        <v>0</v>
      </c>
      <c r="O26" s="118"/>
      <c r="P26" s="122">
        <v>128</v>
      </c>
      <c r="Q26" s="171"/>
      <c r="R26" s="171"/>
      <c r="S26" s="171"/>
      <c r="T26" s="171"/>
      <c r="U26" s="28">
        <v>19</v>
      </c>
      <c r="V26" s="189">
        <f>100*U25/SUM(U$14:U$31)+V25</f>
        <v>42</v>
      </c>
      <c r="W26" s="120">
        <f t="shared" si="0"/>
        <v>51.693069306930695</v>
      </c>
      <c r="X26" s="33"/>
      <c r="Y26" s="26"/>
      <c r="Z26" s="173"/>
      <c r="AA26" s="173"/>
      <c r="AB26" s="173"/>
      <c r="AC26" s="173"/>
      <c r="AD26" s="173"/>
      <c r="AE26" s="173"/>
      <c r="AF26" s="173"/>
    </row>
    <row r="27" spans="2:33" s="27" customFormat="1" x14ac:dyDescent="0.2">
      <c r="B27" s="121">
        <v>180</v>
      </c>
      <c r="C27" s="171"/>
      <c r="D27" s="171"/>
      <c r="E27" s="171"/>
      <c r="F27" s="171"/>
      <c r="G27" s="28">
        <v>10</v>
      </c>
      <c r="H27" s="189">
        <f>100*G26/SUM(G$14:G$31)+H26</f>
        <v>77.227722772277232</v>
      </c>
      <c r="I27" s="122">
        <v>180</v>
      </c>
      <c r="J27" s="171"/>
      <c r="K27" s="171"/>
      <c r="L27" s="171"/>
      <c r="M27" s="171"/>
      <c r="N27" s="28">
        <f t="shared" si="2"/>
        <v>0</v>
      </c>
      <c r="O27" s="118"/>
      <c r="P27" s="122">
        <v>180</v>
      </c>
      <c r="Q27" s="171"/>
      <c r="R27" s="171"/>
      <c r="S27" s="171"/>
      <c r="T27" s="171"/>
      <c r="U27" s="28">
        <v>16</v>
      </c>
      <c r="V27" s="189">
        <f>100*U26/SUM(U$14:U$31)+V26</f>
        <v>61</v>
      </c>
      <c r="W27" s="120">
        <f>AVERAGE(H27,V27,O27)</f>
        <v>69.113861386138609</v>
      </c>
      <c r="X27" s="33"/>
      <c r="Y27" s="26"/>
      <c r="Z27" s="173"/>
      <c r="AA27" s="173"/>
      <c r="AB27" s="173"/>
      <c r="AC27" s="173"/>
      <c r="AD27" s="173"/>
      <c r="AE27" s="173"/>
      <c r="AF27" s="173"/>
    </row>
    <row r="28" spans="2:33" s="27" customFormat="1" x14ac:dyDescent="0.2">
      <c r="B28" s="121">
        <v>256</v>
      </c>
      <c r="C28" s="171"/>
      <c r="D28" s="171"/>
      <c r="E28" s="171"/>
      <c r="F28" s="171"/>
      <c r="G28" s="28">
        <v>4</v>
      </c>
      <c r="H28" s="189">
        <f>100*G27/SUM(G$14:G$31)+H27</f>
        <v>87.128712871287135</v>
      </c>
      <c r="I28" s="122">
        <v>256</v>
      </c>
      <c r="J28" s="171"/>
      <c r="K28" s="171"/>
      <c r="L28" s="171"/>
      <c r="M28" s="171"/>
      <c r="N28" s="28">
        <f t="shared" si="2"/>
        <v>0</v>
      </c>
      <c r="O28" s="118"/>
      <c r="P28" s="122">
        <v>256</v>
      </c>
      <c r="Q28" s="171"/>
      <c r="R28" s="171"/>
      <c r="S28" s="171"/>
      <c r="T28" s="171"/>
      <c r="U28" s="28">
        <v>9</v>
      </c>
      <c r="V28" s="189">
        <f>100*U27/SUM(U$14:U$31)+V27</f>
        <v>77</v>
      </c>
      <c r="W28" s="120">
        <f>AVERAGE(H28,V28,O28)</f>
        <v>82.06435643564356</v>
      </c>
      <c r="X28" s="33"/>
      <c r="Y28" s="26"/>
      <c r="Z28" s="173"/>
      <c r="AA28" s="173"/>
      <c r="AB28" s="173"/>
      <c r="AC28" s="173"/>
      <c r="AD28" s="173"/>
      <c r="AE28" s="173"/>
      <c r="AF28" s="173"/>
    </row>
    <row r="29" spans="2:33" s="27" customFormat="1" ht="17.25" x14ac:dyDescent="0.25">
      <c r="B29" s="121">
        <v>360</v>
      </c>
      <c r="C29" s="171"/>
      <c r="D29" s="171"/>
      <c r="E29" s="171"/>
      <c r="F29" s="171"/>
      <c r="G29" s="28">
        <v>8</v>
      </c>
      <c r="H29" s="189">
        <f>100*G28/SUM(G$14:G$31)+H28</f>
        <v>91.089108910891099</v>
      </c>
      <c r="I29" s="122">
        <v>360</v>
      </c>
      <c r="J29" s="171"/>
      <c r="K29" s="171"/>
      <c r="L29" s="171"/>
      <c r="M29" s="171"/>
      <c r="N29" s="28">
        <f t="shared" si="2"/>
        <v>0</v>
      </c>
      <c r="O29" s="118"/>
      <c r="P29" s="122">
        <v>360</v>
      </c>
      <c r="Q29" s="171"/>
      <c r="R29" s="171"/>
      <c r="S29" s="171"/>
      <c r="T29" s="171"/>
      <c r="U29" s="28">
        <v>9</v>
      </c>
      <c r="V29" s="189">
        <f>100*U28/SUM(U$14:U$31)+V28</f>
        <v>86</v>
      </c>
      <c r="W29" s="120">
        <f>AVERAGE(V29,O29,H29)</f>
        <v>88.544554455445549</v>
      </c>
      <c r="X29" s="33"/>
      <c r="Y29" s="26"/>
      <c r="Z29" s="173"/>
      <c r="AA29" s="173"/>
      <c r="AB29" s="173"/>
      <c r="AC29" s="173"/>
      <c r="AD29" s="173"/>
      <c r="AE29" s="173"/>
      <c r="AF29" s="173"/>
      <c r="AG29" s="34"/>
    </row>
    <row r="30" spans="2:33" s="27" customFormat="1" ht="17.25" x14ac:dyDescent="0.25">
      <c r="B30" s="190">
        <v>512</v>
      </c>
      <c r="C30" s="171"/>
      <c r="D30" s="171"/>
      <c r="E30" s="171"/>
      <c r="F30" s="171"/>
      <c r="G30" s="28">
        <v>1</v>
      </c>
      <c r="H30" s="189">
        <f t="shared" ref="H30:H31" si="4">100*G29/SUM(G$14:G$31)+H29</f>
        <v>99.009900990099027</v>
      </c>
      <c r="I30" s="191">
        <v>512</v>
      </c>
      <c r="J30" s="171"/>
      <c r="K30" s="171"/>
      <c r="L30" s="171"/>
      <c r="M30" s="171"/>
      <c r="N30" s="28">
        <f t="shared" si="2"/>
        <v>0</v>
      </c>
      <c r="O30" s="118"/>
      <c r="P30" s="191">
        <v>512</v>
      </c>
      <c r="Q30" s="171"/>
      <c r="R30" s="171"/>
      <c r="S30" s="171"/>
      <c r="T30" s="171"/>
      <c r="U30" s="28">
        <v>5</v>
      </c>
      <c r="V30" s="189">
        <f t="shared" ref="V30:V31" si="5">100*U29/SUM(U$14:U$31)+V29</f>
        <v>95</v>
      </c>
      <c r="W30" s="120">
        <f t="shared" ref="W30:W31" si="6">AVERAGE(V30,O30,H30)</f>
        <v>97.004950495049513</v>
      </c>
      <c r="X30" s="33"/>
      <c r="Y30" s="26"/>
      <c r="Z30" s="150"/>
      <c r="AA30" s="151"/>
      <c r="AB30" s="151"/>
      <c r="AC30" s="151"/>
      <c r="AD30" s="151"/>
      <c r="AE30" s="151"/>
      <c r="AF30" s="152"/>
      <c r="AG30" s="34"/>
    </row>
    <row r="31" spans="2:33" s="27" customFormat="1" ht="18" thickBot="1" x14ac:dyDescent="0.3">
      <c r="B31" s="125">
        <v>720</v>
      </c>
      <c r="C31" s="177"/>
      <c r="D31" s="178"/>
      <c r="E31" s="178"/>
      <c r="F31" s="179"/>
      <c r="G31" s="28">
        <v>0</v>
      </c>
      <c r="H31" s="189">
        <f t="shared" si="4"/>
        <v>100.00000000000001</v>
      </c>
      <c r="I31" s="126">
        <v>720</v>
      </c>
      <c r="J31" s="177"/>
      <c r="K31" s="178"/>
      <c r="L31" s="178"/>
      <c r="M31" s="179"/>
      <c r="N31" s="28">
        <f>J31+N29</f>
        <v>0</v>
      </c>
      <c r="O31" s="118"/>
      <c r="P31" s="126">
        <v>720</v>
      </c>
      <c r="Q31" s="171"/>
      <c r="R31" s="171"/>
      <c r="S31" s="171"/>
      <c r="T31" s="171"/>
      <c r="U31" s="28">
        <v>0</v>
      </c>
      <c r="V31" s="189">
        <f t="shared" si="5"/>
        <v>100</v>
      </c>
      <c r="W31" s="120">
        <f t="shared" si="6"/>
        <v>100</v>
      </c>
      <c r="X31" s="33"/>
      <c r="Y31" s="26"/>
      <c r="Z31" s="174"/>
      <c r="AA31" s="175"/>
      <c r="AB31" s="175"/>
      <c r="AC31" s="175"/>
      <c r="AD31" s="175"/>
      <c r="AE31" s="175"/>
      <c r="AF31" s="176"/>
      <c r="AG31" s="34"/>
    </row>
    <row r="32" spans="2:33" s="27" customFormat="1" x14ac:dyDescent="0.2">
      <c r="H32" s="35"/>
      <c r="Y32" s="26"/>
      <c r="Z32" s="174"/>
      <c r="AA32" s="175"/>
      <c r="AB32" s="175"/>
      <c r="AC32" s="175"/>
      <c r="AD32" s="175"/>
      <c r="AE32" s="175"/>
      <c r="AF32" s="176"/>
    </row>
    <row r="33" spans="2:34" s="27" customFormat="1" ht="15" thickBot="1" x14ac:dyDescent="0.25">
      <c r="C33" s="185" t="s">
        <v>22</v>
      </c>
      <c r="D33" s="185"/>
      <c r="E33" s="185"/>
      <c r="F33" s="185"/>
      <c r="G33" s="185"/>
      <c r="H33" s="185"/>
      <c r="I33" s="36"/>
      <c r="J33" s="185" t="s">
        <v>23</v>
      </c>
      <c r="K33" s="185"/>
      <c r="L33" s="185"/>
      <c r="M33" s="185"/>
      <c r="N33" s="185"/>
      <c r="O33" s="185"/>
      <c r="P33" s="36"/>
      <c r="Q33" s="185" t="s">
        <v>24</v>
      </c>
      <c r="R33" s="185"/>
      <c r="S33" s="185"/>
      <c r="T33" s="185"/>
      <c r="U33" s="185"/>
      <c r="V33" s="185"/>
      <c r="Y33" s="26"/>
      <c r="Z33" s="174"/>
      <c r="AA33" s="175"/>
      <c r="AB33" s="175"/>
      <c r="AC33" s="175"/>
      <c r="AD33" s="175"/>
      <c r="AE33" s="175"/>
      <c r="AF33" s="176"/>
    </row>
    <row r="34" spans="2:34" s="27" customFormat="1" x14ac:dyDescent="0.2">
      <c r="C34" s="37"/>
      <c r="D34" s="38"/>
      <c r="E34" s="38"/>
      <c r="F34" s="38"/>
      <c r="G34" s="186"/>
      <c r="H34" s="187"/>
      <c r="I34" s="30"/>
      <c r="J34" s="37"/>
      <c r="K34" s="38"/>
      <c r="L34" s="38"/>
      <c r="M34" s="38"/>
      <c r="N34" s="186"/>
      <c r="O34" s="187"/>
      <c r="Q34" s="37"/>
      <c r="R34" s="38"/>
      <c r="S34" s="38"/>
      <c r="T34" s="38"/>
      <c r="U34" s="186"/>
      <c r="V34" s="187"/>
      <c r="Y34" s="26"/>
      <c r="Z34" s="174"/>
      <c r="AA34" s="175"/>
      <c r="AB34" s="175"/>
      <c r="AC34" s="175"/>
      <c r="AD34" s="175"/>
      <c r="AE34" s="175"/>
      <c r="AF34" s="176"/>
    </row>
    <row r="35" spans="2:34" s="27" customFormat="1" x14ac:dyDescent="0.2">
      <c r="C35" s="39"/>
      <c r="D35" s="40"/>
      <c r="E35" s="40"/>
      <c r="F35" s="40"/>
      <c r="G35" s="180"/>
      <c r="H35" s="181"/>
      <c r="I35" s="30"/>
      <c r="J35" s="39"/>
      <c r="K35" s="40"/>
      <c r="L35" s="40"/>
      <c r="M35" s="40"/>
      <c r="N35" s="180"/>
      <c r="O35" s="181"/>
      <c r="Q35" s="39"/>
      <c r="R35" s="40"/>
      <c r="S35" s="40"/>
      <c r="T35" s="40"/>
      <c r="U35" s="180"/>
      <c r="V35" s="181"/>
      <c r="Y35" s="56"/>
      <c r="Z35" s="174"/>
      <c r="AA35" s="175"/>
      <c r="AB35" s="175"/>
      <c r="AC35" s="175"/>
      <c r="AD35" s="175"/>
      <c r="AE35" s="175"/>
      <c r="AF35" s="176"/>
    </row>
    <row r="36" spans="2:34" s="27" customFormat="1" ht="13.9" x14ac:dyDescent="0.25">
      <c r="C36" s="39"/>
      <c r="D36" s="40"/>
      <c r="E36" s="40"/>
      <c r="F36" s="40"/>
      <c r="G36" s="180"/>
      <c r="H36" s="181"/>
      <c r="I36" s="30"/>
      <c r="J36" s="39"/>
      <c r="K36" s="40"/>
      <c r="L36" s="40"/>
      <c r="M36" s="40"/>
      <c r="N36" s="180"/>
      <c r="O36" s="181"/>
      <c r="Q36" s="39"/>
      <c r="R36" s="40"/>
      <c r="S36" s="40"/>
      <c r="T36" s="40"/>
      <c r="U36" s="180"/>
      <c r="V36" s="181"/>
      <c r="Y36" s="26"/>
      <c r="Z36" s="174"/>
      <c r="AA36" s="175"/>
      <c r="AB36" s="175"/>
      <c r="AC36" s="175"/>
      <c r="AD36" s="175"/>
      <c r="AE36" s="175"/>
      <c r="AF36" s="176"/>
    </row>
    <row r="37" spans="2:34" s="27" customFormat="1" ht="14.45" thickBot="1" x14ac:dyDescent="0.3">
      <c r="C37" s="43"/>
      <c r="D37" s="44"/>
      <c r="E37" s="44"/>
      <c r="F37" s="44"/>
      <c r="G37" s="182"/>
      <c r="H37" s="183"/>
      <c r="I37" s="30"/>
      <c r="J37" s="43"/>
      <c r="K37" s="44"/>
      <c r="L37" s="44"/>
      <c r="M37" s="44"/>
      <c r="N37" s="45"/>
      <c r="O37" s="46"/>
      <c r="Q37" s="43"/>
      <c r="R37" s="44"/>
      <c r="S37" s="44"/>
      <c r="T37" s="44"/>
      <c r="U37" s="182"/>
      <c r="V37" s="183"/>
      <c r="Z37" s="42"/>
      <c r="AA37" s="184"/>
      <c r="AB37" s="184"/>
      <c r="AC37" s="184"/>
      <c r="AD37" s="36"/>
      <c r="AF37" s="17"/>
    </row>
    <row r="38" spans="2:34" s="27" customFormat="1" ht="13.9" x14ac:dyDescent="0.25">
      <c r="B38" s="1" t="s">
        <v>80</v>
      </c>
      <c r="C38" s="137" t="s">
        <v>130</v>
      </c>
      <c r="G38" s="1"/>
      <c r="H38" s="35"/>
      <c r="K38" s="165" t="s">
        <v>117</v>
      </c>
      <c r="L38" s="165"/>
      <c r="M38" s="138">
        <v>205</v>
      </c>
      <c r="N38" s="1"/>
      <c r="R38" s="41"/>
      <c r="S38" s="140" t="s">
        <v>82</v>
      </c>
      <c r="T38" s="139">
        <v>1</v>
      </c>
      <c r="U38" s="27" t="s">
        <v>118</v>
      </c>
      <c r="V38" s="139">
        <v>2</v>
      </c>
      <c r="Y38" s="1" t="s">
        <v>80</v>
      </c>
      <c r="Z38" s="6" t="s">
        <v>130</v>
      </c>
      <c r="AA38" s="1"/>
      <c r="AB38" s="140" t="s">
        <v>117</v>
      </c>
      <c r="AC38" s="6">
        <v>206</v>
      </c>
      <c r="AE38" s="1" t="s">
        <v>82</v>
      </c>
      <c r="AF38" s="129">
        <v>2</v>
      </c>
      <c r="AG38" s="136" t="s">
        <v>118</v>
      </c>
      <c r="AH38" s="141">
        <v>2</v>
      </c>
    </row>
    <row r="39" spans="2:34" s="27" customFormat="1" ht="13.9" x14ac:dyDescent="0.25">
      <c r="G39" s="30"/>
      <c r="H39" s="47"/>
      <c r="I39" s="30"/>
      <c r="J39" s="30"/>
      <c r="K39" s="30"/>
      <c r="L39" s="30"/>
      <c r="M39" s="30"/>
      <c r="N39" s="31"/>
      <c r="O39" s="32"/>
      <c r="P39" s="32"/>
      <c r="Q39" s="32"/>
      <c r="R39" s="32"/>
      <c r="S39" s="32"/>
      <c r="T39" s="32"/>
      <c r="AA39" s="36"/>
      <c r="AB39" s="48"/>
      <c r="AC39" s="36"/>
      <c r="AE39" s="32"/>
      <c r="AF39" s="32"/>
    </row>
    <row r="40" spans="2:34" s="27" customFormat="1" ht="13.9" x14ac:dyDescent="0.25">
      <c r="H40" s="35"/>
      <c r="Z40" s="32"/>
      <c r="AA40" s="30"/>
      <c r="AB40" s="30"/>
      <c r="AC40" s="31"/>
      <c r="AD40" s="32"/>
      <c r="AE40" s="32"/>
      <c r="AF40" s="32"/>
    </row>
    <row r="41" spans="2:34" s="27" customFormat="1" ht="13.9" x14ac:dyDescent="0.25">
      <c r="E41" s="101"/>
      <c r="F41" s="101"/>
      <c r="G41" s="101"/>
      <c r="H41" s="102"/>
      <c r="I41" s="101"/>
      <c r="J41" s="101"/>
      <c r="K41" s="101"/>
      <c r="L41" s="101"/>
      <c r="M41" s="101"/>
      <c r="N41" s="101"/>
      <c r="O41" s="101"/>
      <c r="P41" s="101"/>
      <c r="Q41" s="101"/>
      <c r="R41" s="101"/>
      <c r="S41" s="101"/>
      <c r="T41" s="101"/>
      <c r="U41" s="101"/>
      <c r="V41" s="101"/>
      <c r="W41" s="101" t="s">
        <v>88</v>
      </c>
      <c r="X41" s="101"/>
      <c r="Z41" s="30"/>
      <c r="AA41" s="30"/>
      <c r="AB41" s="30"/>
      <c r="AC41" s="31"/>
      <c r="AD41" s="32"/>
      <c r="AF41" s="32"/>
    </row>
    <row r="42" spans="2:34" s="27" customFormat="1" ht="14.45" x14ac:dyDescent="0.3">
      <c r="E42" s="98" t="s">
        <v>83</v>
      </c>
      <c r="F42" s="98" t="s">
        <v>11</v>
      </c>
      <c r="G42" s="101"/>
      <c r="H42" s="101"/>
      <c r="I42" s="101"/>
      <c r="J42" s="101"/>
      <c r="K42" s="101"/>
      <c r="L42" s="98" t="s">
        <v>83</v>
      </c>
      <c r="M42" s="98" t="s">
        <v>11</v>
      </c>
      <c r="N42" s="101"/>
      <c r="O42" s="101"/>
      <c r="P42" s="101"/>
      <c r="Q42" s="101"/>
      <c r="R42" s="101"/>
      <c r="S42" s="98" t="s">
        <v>83</v>
      </c>
      <c r="T42" s="98" t="s">
        <v>11</v>
      </c>
      <c r="U42" s="101"/>
      <c r="V42" s="101"/>
      <c r="W42" s="98" t="s">
        <v>11</v>
      </c>
      <c r="X42" s="105"/>
      <c r="Z42" s="30"/>
      <c r="AA42" s="30"/>
      <c r="AB42" s="30"/>
      <c r="AC42" s="31"/>
      <c r="AD42" s="32"/>
      <c r="AF42" s="32"/>
    </row>
    <row r="43" spans="2:34" s="27" customFormat="1" ht="14.45" x14ac:dyDescent="0.3">
      <c r="E43" s="98">
        <v>16</v>
      </c>
      <c r="F43" s="99">
        <f ca="1">10^(FORECAST(E43,LOG(OFFSET(B$14:B$31,MATCH(E43,H$14:H$31,1)-1,0,2)),OFFSET(H$14:H$31,MATCH(E43,H$14:H$31,1)-1,0,2)))</f>
        <v>38.206961148319373</v>
      </c>
      <c r="G43" s="101"/>
      <c r="H43" s="101"/>
      <c r="I43" s="101"/>
      <c r="J43" s="101"/>
      <c r="K43" s="101"/>
      <c r="L43" s="98">
        <v>16</v>
      </c>
      <c r="M43" s="99"/>
      <c r="N43" s="101"/>
      <c r="O43" s="101"/>
      <c r="P43" s="101"/>
      <c r="Q43" s="101"/>
      <c r="R43" s="101"/>
      <c r="S43" s="98">
        <v>16</v>
      </c>
      <c r="T43" s="99">
        <f ca="1">10^(FORECAST(S43,LOG(OFFSET(P$14:P$31,MATCH(S43,V$14:V$31,1)-1,0,2)),OFFSET(V$14:V$31,MATCH(S43,V$14:V$31,1)-1,0,2)))</f>
        <v>59.646708371061607</v>
      </c>
      <c r="U43" s="101"/>
      <c r="V43" s="103"/>
      <c r="W43" s="99">
        <f ca="1">10^(FORECAST(S43,LOG(OFFSET(P$14:P$31,MATCH(S43,W$14:W$31,1)-1,0,2)),OFFSET(W$14:W$31,MATCH(S43,W$14:W$31,1)-1,0,2)))</f>
        <v>45.18630750484418</v>
      </c>
      <c r="X43" s="99"/>
    </row>
    <row r="44" spans="2:34" s="27" customFormat="1" ht="14.45" x14ac:dyDescent="0.3">
      <c r="E44" s="98">
        <v>50</v>
      </c>
      <c r="F44" s="99">
        <f t="shared" ref="F44:F46" ca="1" si="7">10^(FORECAST(E44,LOG(OFFSET(B$14:B$31,MATCH(E44,H$14:H$31,1)-1,0,2)),OFFSET(H$14:H$31,MATCH(E44,H$14:H$31,1)-1,0,2)))</f>
        <v>104.53306393012261</v>
      </c>
      <c r="G44" s="101"/>
      <c r="H44" s="101"/>
      <c r="I44" s="101"/>
      <c r="J44" s="101"/>
      <c r="K44" s="101"/>
      <c r="L44" s="98">
        <v>50</v>
      </c>
      <c r="M44" s="99"/>
      <c r="N44" s="101"/>
      <c r="O44" s="101"/>
      <c r="P44" s="101"/>
      <c r="Q44" s="101"/>
      <c r="R44" s="101"/>
      <c r="S44" s="98">
        <v>50</v>
      </c>
      <c r="T44" s="99">
        <f t="shared" ref="T44:T46" ca="1" si="8">10^(FORECAST(S44,LOG(OFFSET(P$14:P$31,MATCH(S44,V$14:V$31,1)-1,0,2)),OFFSET(V$14:V$31,MATCH(S44,V$14:V$31,1)-1,0,2)))</f>
        <v>147.75836942536046</v>
      </c>
      <c r="U44" s="101"/>
      <c r="V44" s="103"/>
      <c r="W44" s="99">
        <f t="shared" ref="W44:W46" ca="1" si="9">10^(FORECAST(S44,LOG(OFFSET(P$14:P$31,MATCH(S44,W$14:W$31,1)-1,0,2)),OFFSET(W$14:W$31,MATCH(S44,W$14:W$31,1)-1,0,2)))</f>
        <v>123.28852300993201</v>
      </c>
      <c r="X44" s="99"/>
    </row>
    <row r="45" spans="2:34" s="27" customFormat="1" ht="14.45" x14ac:dyDescent="0.3">
      <c r="E45" s="98">
        <v>84</v>
      </c>
      <c r="F45" s="99">
        <f t="shared" ca="1" si="7"/>
        <v>229.03520764362449</v>
      </c>
      <c r="G45" s="101"/>
      <c r="H45" s="101"/>
      <c r="I45" s="101"/>
      <c r="J45" s="101"/>
      <c r="K45" s="101"/>
      <c r="L45" s="98">
        <v>84</v>
      </c>
      <c r="M45" s="99"/>
      <c r="N45" s="101"/>
      <c r="O45" s="101"/>
      <c r="P45" s="101"/>
      <c r="Q45" s="101"/>
      <c r="R45" s="101"/>
      <c r="S45" s="98">
        <v>84</v>
      </c>
      <c r="T45" s="99">
        <f t="shared" ca="1" si="8"/>
        <v>333.73343238186499</v>
      </c>
      <c r="U45" s="101"/>
      <c r="V45" s="103"/>
      <c r="W45" s="99">
        <f t="shared" ca="1" si="9"/>
        <v>283.44345748237146</v>
      </c>
      <c r="X45" s="99"/>
    </row>
    <row r="46" spans="2:34" s="27" customFormat="1" ht="14.45" x14ac:dyDescent="0.3">
      <c r="E46" s="98">
        <v>90</v>
      </c>
      <c r="F46" s="99">
        <f t="shared" ca="1" si="7"/>
        <v>327.78215299642335</v>
      </c>
      <c r="G46" s="101"/>
      <c r="H46" s="101"/>
      <c r="I46" s="101"/>
      <c r="J46" s="101"/>
      <c r="K46" s="101"/>
      <c r="L46" s="98">
        <v>90</v>
      </c>
      <c r="M46" s="99"/>
      <c r="N46" s="101"/>
      <c r="O46" s="101"/>
      <c r="P46" s="101"/>
      <c r="Q46" s="101"/>
      <c r="R46" s="101"/>
      <c r="S46" s="98">
        <v>90</v>
      </c>
      <c r="T46" s="99">
        <f t="shared" ca="1" si="8"/>
        <v>421.00576092236719</v>
      </c>
      <c r="U46" s="101"/>
      <c r="V46" s="103"/>
      <c r="W46" s="99">
        <f t="shared" ca="1" si="9"/>
        <v>382.48777448171842</v>
      </c>
      <c r="X46" s="99"/>
    </row>
    <row r="47" spans="2:34" s="27" customFormat="1" ht="14.45" x14ac:dyDescent="0.3">
      <c r="E47" s="100"/>
      <c r="F47" s="100"/>
      <c r="G47" s="101"/>
      <c r="H47" s="101"/>
      <c r="I47" s="101"/>
      <c r="J47" s="101"/>
      <c r="K47" s="101"/>
      <c r="L47" s="100"/>
      <c r="M47" s="100"/>
      <c r="N47" s="101"/>
      <c r="O47" s="101"/>
      <c r="P47" s="101"/>
      <c r="Q47" s="101"/>
      <c r="R47" s="101"/>
      <c r="S47" s="100"/>
      <c r="T47" s="100"/>
      <c r="U47" s="101"/>
      <c r="V47" s="101"/>
      <c r="W47" s="100"/>
      <c r="X47" s="100"/>
    </row>
    <row r="48" spans="2:34" s="27" customFormat="1" ht="14.45" x14ac:dyDescent="0.3">
      <c r="E48" s="98" t="s">
        <v>84</v>
      </c>
      <c r="F48" s="99">
        <f ca="1">0.5*(F45/F44+F44/F43)</f>
        <v>2.46350014962713</v>
      </c>
      <c r="G48" s="101"/>
      <c r="H48" s="101"/>
      <c r="I48" s="101"/>
      <c r="J48" s="101"/>
      <c r="K48" s="101"/>
      <c r="L48" s="98" t="s">
        <v>84</v>
      </c>
      <c r="M48" s="99"/>
      <c r="N48" s="101"/>
      <c r="O48" s="101"/>
      <c r="P48" s="101"/>
      <c r="Q48" s="101"/>
      <c r="R48" s="101"/>
      <c r="S48" s="98" t="s">
        <v>84</v>
      </c>
      <c r="T48" s="99">
        <f ca="1">0.5*(T45/T44+T44/T43)</f>
        <v>2.3679345248411776</v>
      </c>
      <c r="U48" s="101"/>
      <c r="V48" s="101"/>
      <c r="W48" s="99">
        <f ca="1">0.5*(W45/W44+W44/W43)</f>
        <v>2.513737108371664</v>
      </c>
      <c r="X48" s="99"/>
    </row>
    <row r="49" spans="5:24" s="27" customFormat="1" ht="14.45" x14ac:dyDescent="0.3">
      <c r="E49" s="100"/>
      <c r="F49" s="99"/>
      <c r="G49" s="101"/>
      <c r="H49" s="101"/>
      <c r="I49" s="101"/>
      <c r="J49" s="101"/>
      <c r="K49" s="101"/>
      <c r="L49" s="100"/>
      <c r="M49" s="99"/>
      <c r="N49" s="101"/>
      <c r="O49" s="101"/>
      <c r="P49" s="101"/>
      <c r="Q49" s="101"/>
      <c r="R49" s="101"/>
      <c r="S49" s="100"/>
      <c r="T49" s="99"/>
      <c r="U49" s="101"/>
      <c r="V49" s="101"/>
      <c r="W49" s="99"/>
      <c r="X49" s="99"/>
    </row>
    <row r="50" spans="5:24" s="27" customFormat="1" ht="14.45" x14ac:dyDescent="0.3">
      <c r="E50" s="100" t="s">
        <v>86</v>
      </c>
      <c r="F50" s="99">
        <f>H13</f>
        <v>0</v>
      </c>
      <c r="G50" s="101"/>
      <c r="H50" s="101"/>
      <c r="I50" s="101"/>
      <c r="J50" s="101"/>
      <c r="K50" s="101"/>
      <c r="L50" s="100" t="s">
        <v>86</v>
      </c>
      <c r="M50" s="99">
        <f>O13</f>
        <v>0</v>
      </c>
      <c r="N50" s="101"/>
      <c r="O50" s="101"/>
      <c r="P50" s="101"/>
      <c r="Q50" s="101"/>
      <c r="R50" s="101"/>
      <c r="S50" s="100" t="s">
        <v>86</v>
      </c>
      <c r="T50" s="99">
        <f>V13</f>
        <v>0</v>
      </c>
      <c r="U50" s="101"/>
      <c r="V50" s="101"/>
      <c r="W50" s="99">
        <f>AVERAGE(T50,M50,F50)</f>
        <v>0</v>
      </c>
      <c r="X50" s="99"/>
    </row>
    <row r="51" spans="5:24" s="27" customFormat="1" ht="13.9" x14ac:dyDescent="0.25">
      <c r="H51" s="35"/>
    </row>
    <row r="52" spans="5:24" s="27" customFormat="1" ht="13.9" x14ac:dyDescent="0.25">
      <c r="H52" s="35"/>
    </row>
    <row r="53" spans="5:24" s="27" customFormat="1" ht="13.9" x14ac:dyDescent="0.25">
      <c r="H53" s="35"/>
    </row>
    <row r="54" spans="5:24" s="27" customFormat="1" ht="13.9" x14ac:dyDescent="0.25">
      <c r="H54" s="35"/>
    </row>
    <row r="55" spans="5:24" s="27" customFormat="1" ht="13.9" x14ac:dyDescent="0.25">
      <c r="H55" s="35"/>
    </row>
    <row r="56" spans="5:24" s="27" customFormat="1" ht="13.9" x14ac:dyDescent="0.25">
      <c r="H56" s="35"/>
    </row>
    <row r="57" spans="5:24" s="27" customFormat="1" ht="13.9" x14ac:dyDescent="0.25">
      <c r="H57" s="35"/>
    </row>
    <row r="58" spans="5:24" s="27" customFormat="1" x14ac:dyDescent="0.2">
      <c r="H58" s="35"/>
    </row>
    <row r="59" spans="5:24" s="27" customFormat="1" x14ac:dyDescent="0.2">
      <c r="H59" s="35"/>
    </row>
    <row r="60" spans="5:24" s="27" customFormat="1" x14ac:dyDescent="0.2">
      <c r="H60" s="35"/>
    </row>
    <row r="61" spans="5:24" s="27" customFormat="1" x14ac:dyDescent="0.2">
      <c r="H61" s="35"/>
    </row>
    <row r="62" spans="5:24" s="27" customFormat="1" x14ac:dyDescent="0.2">
      <c r="H62" s="35"/>
    </row>
    <row r="63" spans="5:24" s="27" customFormat="1" x14ac:dyDescent="0.2">
      <c r="H63" s="35"/>
    </row>
    <row r="64" spans="5:24" s="27" customFormat="1" x14ac:dyDescent="0.2">
      <c r="H64" s="35"/>
    </row>
    <row r="65" spans="8:8" s="27" customFormat="1" x14ac:dyDescent="0.2">
      <c r="H65" s="35"/>
    </row>
    <row r="66" spans="8:8" s="27" customFormat="1" x14ac:dyDescent="0.2">
      <c r="H66" s="35"/>
    </row>
    <row r="67" spans="8:8" s="27" customFormat="1" x14ac:dyDescent="0.2">
      <c r="H67" s="35"/>
    </row>
    <row r="68" spans="8:8" s="27" customFormat="1" x14ac:dyDescent="0.2">
      <c r="H68" s="35"/>
    </row>
    <row r="69" spans="8:8" s="27" customFormat="1" x14ac:dyDescent="0.2">
      <c r="H69" s="35"/>
    </row>
    <row r="70" spans="8:8" s="27" customFormat="1" x14ac:dyDescent="0.2">
      <c r="H70" s="35"/>
    </row>
    <row r="71" spans="8:8" s="27" customFormat="1" x14ac:dyDescent="0.2">
      <c r="H71" s="35"/>
    </row>
    <row r="72" spans="8:8" s="27" customFormat="1" x14ac:dyDescent="0.2">
      <c r="H72" s="35"/>
    </row>
    <row r="73" spans="8:8" s="27" customFormat="1" x14ac:dyDescent="0.2">
      <c r="H73" s="35"/>
    </row>
    <row r="74" spans="8:8" s="27" customFormat="1" x14ac:dyDescent="0.2">
      <c r="H74" s="35"/>
    </row>
    <row r="75" spans="8:8" s="27" customFormat="1" x14ac:dyDescent="0.2">
      <c r="H75" s="35"/>
    </row>
    <row r="76" spans="8:8" s="27" customFormat="1" x14ac:dyDescent="0.2">
      <c r="H76" s="35"/>
    </row>
    <row r="77" spans="8:8" s="27" customFormat="1" x14ac:dyDescent="0.2">
      <c r="H77" s="35"/>
    </row>
    <row r="78" spans="8:8" s="27" customFormat="1" x14ac:dyDescent="0.2">
      <c r="H78" s="35"/>
    </row>
    <row r="79" spans="8:8" s="27" customFormat="1" x14ac:dyDescent="0.2">
      <c r="H79" s="35"/>
    </row>
    <row r="80" spans="8:8" s="27" customFormat="1" x14ac:dyDescent="0.2">
      <c r="H80" s="35"/>
    </row>
    <row r="81" spans="8:8" s="27" customFormat="1" x14ac:dyDescent="0.2">
      <c r="H81" s="35"/>
    </row>
    <row r="82" spans="8:8" s="27" customFormat="1" x14ac:dyDescent="0.2">
      <c r="H82" s="35"/>
    </row>
    <row r="83" spans="8:8" s="27" customFormat="1" x14ac:dyDescent="0.2">
      <c r="H83" s="35"/>
    </row>
    <row r="84" spans="8:8" s="27" customFormat="1" x14ac:dyDescent="0.2">
      <c r="H84" s="35"/>
    </row>
    <row r="85" spans="8:8" s="27" customFormat="1" x14ac:dyDescent="0.2">
      <c r="H85" s="35"/>
    </row>
    <row r="86" spans="8:8" s="27" customFormat="1" x14ac:dyDescent="0.2">
      <c r="H86" s="35"/>
    </row>
    <row r="87" spans="8:8" s="27" customFormat="1" x14ac:dyDescent="0.2">
      <c r="H87" s="35"/>
    </row>
    <row r="88" spans="8:8" s="27" customFormat="1" x14ac:dyDescent="0.2">
      <c r="H88" s="35"/>
    </row>
    <row r="89" spans="8:8" s="27" customFormat="1" x14ac:dyDescent="0.2">
      <c r="H89" s="35"/>
    </row>
    <row r="90" spans="8:8" s="27" customFormat="1" x14ac:dyDescent="0.2">
      <c r="H90" s="35"/>
    </row>
    <row r="91" spans="8:8" s="27" customFormat="1" x14ac:dyDescent="0.2">
      <c r="H91" s="35"/>
    </row>
    <row r="92" spans="8:8" s="27" customFormat="1" x14ac:dyDescent="0.2">
      <c r="H92" s="35"/>
    </row>
    <row r="93" spans="8:8" s="27" customFormat="1" x14ac:dyDescent="0.2">
      <c r="H93" s="35"/>
    </row>
    <row r="94" spans="8:8" s="27" customFormat="1" x14ac:dyDescent="0.2">
      <c r="H94" s="35"/>
    </row>
    <row r="95" spans="8:8" s="27" customFormat="1" x14ac:dyDescent="0.2">
      <c r="H95" s="35"/>
    </row>
    <row r="96" spans="8:8" s="27" customFormat="1" x14ac:dyDescent="0.2">
      <c r="H96" s="35"/>
    </row>
    <row r="97" spans="8:33" s="27" customFormat="1" x14ac:dyDescent="0.2">
      <c r="H97" s="35"/>
    </row>
    <row r="98" spans="8:33" s="27" customFormat="1" x14ac:dyDescent="0.2">
      <c r="H98" s="35"/>
    </row>
    <row r="99" spans="8:33" s="27" customFormat="1" x14ac:dyDescent="0.2">
      <c r="H99" s="35"/>
    </row>
    <row r="100" spans="8:33" s="27" customFormat="1" x14ac:dyDescent="0.2">
      <c r="H100" s="35"/>
    </row>
    <row r="101" spans="8:33" x14ac:dyDescent="0.2">
      <c r="Y101" s="27"/>
      <c r="Z101" s="27"/>
      <c r="AA101" s="27"/>
      <c r="AB101" s="27"/>
      <c r="AC101" s="27"/>
      <c r="AD101" s="27"/>
      <c r="AE101" s="27"/>
      <c r="AF101" s="27"/>
      <c r="AG101" s="27"/>
    </row>
    <row r="102" spans="8:33" x14ac:dyDescent="0.2">
      <c r="Y102" s="27"/>
      <c r="Z102" s="27"/>
      <c r="AA102" s="27"/>
      <c r="AB102" s="27"/>
      <c r="AC102" s="27"/>
      <c r="AD102" s="27"/>
      <c r="AE102" s="27"/>
      <c r="AF102" s="27"/>
      <c r="AG102" s="27"/>
    </row>
  </sheetData>
  <mergeCells count="102">
    <mergeCell ref="G37:H37"/>
    <mergeCell ref="U37:V37"/>
    <mergeCell ref="AA37:AC37"/>
    <mergeCell ref="C31:F31"/>
    <mergeCell ref="C33:H33"/>
    <mergeCell ref="J33:O33"/>
    <mergeCell ref="Q33:V33"/>
    <mergeCell ref="Z33:AF33"/>
    <mergeCell ref="G36:H36"/>
    <mergeCell ref="N36:O36"/>
    <mergeCell ref="U36:V36"/>
    <mergeCell ref="G34:H34"/>
    <mergeCell ref="N34:O34"/>
    <mergeCell ref="U34:V34"/>
    <mergeCell ref="G35:H35"/>
    <mergeCell ref="N35:O35"/>
    <mergeCell ref="Z35:AF35"/>
    <mergeCell ref="Z36:AF36"/>
    <mergeCell ref="C26:F26"/>
    <mergeCell ref="J26:M26"/>
    <mergeCell ref="Q26:T26"/>
    <mergeCell ref="Z26:AF26"/>
    <mergeCell ref="U35:V35"/>
    <mergeCell ref="C28:F28"/>
    <mergeCell ref="J28:M28"/>
    <mergeCell ref="Q28:T28"/>
    <mergeCell ref="Z28:AF28"/>
    <mergeCell ref="Z32:AF32"/>
    <mergeCell ref="C29:F29"/>
    <mergeCell ref="J29:M29"/>
    <mergeCell ref="Q29:T29"/>
    <mergeCell ref="Z29:AF29"/>
    <mergeCell ref="Z34:AF34"/>
    <mergeCell ref="C27:F27"/>
    <mergeCell ref="J27:M27"/>
    <mergeCell ref="Q27:T27"/>
    <mergeCell ref="Z27:AF27"/>
    <mergeCell ref="J31:M31"/>
    <mergeCell ref="C30:F30"/>
    <mergeCell ref="J30:M30"/>
    <mergeCell ref="Q30:T30"/>
    <mergeCell ref="C24:F24"/>
    <mergeCell ref="J24:M24"/>
    <mergeCell ref="Q24:T24"/>
    <mergeCell ref="Z24:AF24"/>
    <mergeCell ref="Z31:AF31"/>
    <mergeCell ref="C25:F25"/>
    <mergeCell ref="J25:M25"/>
    <mergeCell ref="Q25:T25"/>
    <mergeCell ref="Z25:AF25"/>
    <mergeCell ref="Q31:T31"/>
    <mergeCell ref="C23:F23"/>
    <mergeCell ref="J23:M23"/>
    <mergeCell ref="Q23:T23"/>
    <mergeCell ref="Z23:AF23"/>
    <mergeCell ref="Z20:AF20"/>
    <mergeCell ref="C21:F21"/>
    <mergeCell ref="J21:M21"/>
    <mergeCell ref="Q21:T21"/>
    <mergeCell ref="Z21:AF21"/>
    <mergeCell ref="C22:F22"/>
    <mergeCell ref="J22:M22"/>
    <mergeCell ref="Q22:T22"/>
    <mergeCell ref="Z22:AF22"/>
    <mergeCell ref="Z18:AF18"/>
    <mergeCell ref="C19:F19"/>
    <mergeCell ref="J19:M19"/>
    <mergeCell ref="Q19:T19"/>
    <mergeCell ref="Z19:AF19"/>
    <mergeCell ref="C18:F18"/>
    <mergeCell ref="J18:M18"/>
    <mergeCell ref="Q18:T18"/>
    <mergeCell ref="C16:F16"/>
    <mergeCell ref="J16:M16"/>
    <mergeCell ref="Q16:T16"/>
    <mergeCell ref="C20:F20"/>
    <mergeCell ref="J20:M20"/>
    <mergeCell ref="Q20:T20"/>
    <mergeCell ref="C17:F17"/>
    <mergeCell ref="J17:M17"/>
    <mergeCell ref="Q17:T17"/>
    <mergeCell ref="J14:M14"/>
    <mergeCell ref="Q14:T14"/>
    <mergeCell ref="C15:F15"/>
    <mergeCell ref="J15:M15"/>
    <mergeCell ref="Q15:T15"/>
    <mergeCell ref="K38:L38"/>
    <mergeCell ref="B7:C7"/>
    <mergeCell ref="K5:L5"/>
    <mergeCell ref="B2:V2"/>
    <mergeCell ref="Y2:AF2"/>
    <mergeCell ref="C11:H11"/>
    <mergeCell ref="C12:F12"/>
    <mergeCell ref="J12:M12"/>
    <mergeCell ref="Q12:T12"/>
    <mergeCell ref="B4:C4"/>
    <mergeCell ref="B5:C5"/>
    <mergeCell ref="B6:C6"/>
    <mergeCell ref="C13:F13"/>
    <mergeCell ref="J13:M13"/>
    <mergeCell ref="Q13:T13"/>
    <mergeCell ref="C14:F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F14" sqref="F14"/>
    </sheetView>
  </sheetViews>
  <sheetFormatPr defaultRowHeight="15" x14ac:dyDescent="0.25"/>
  <sheetData>
    <row r="6" spans="3:8" x14ac:dyDescent="0.25">
      <c r="C6" s="100"/>
      <c r="D6" s="188" t="s">
        <v>89</v>
      </c>
      <c r="E6" s="188"/>
      <c r="F6" s="188"/>
      <c r="G6" s="188"/>
      <c r="H6" s="98" t="s">
        <v>90</v>
      </c>
    </row>
    <row r="7" spans="3:8" x14ac:dyDescent="0.25">
      <c r="C7" s="100"/>
      <c r="D7" s="98" t="s">
        <v>12</v>
      </c>
      <c r="E7" s="98" t="s">
        <v>15</v>
      </c>
      <c r="F7" s="98" t="s">
        <v>16</v>
      </c>
      <c r="G7" s="98" t="s">
        <v>91</v>
      </c>
      <c r="H7" s="98" t="s">
        <v>92</v>
      </c>
    </row>
    <row r="8" spans="3:8" x14ac:dyDescent="0.25">
      <c r="C8" s="100" t="s">
        <v>93</v>
      </c>
      <c r="D8" s="99">
        <f ca="1">Surface!F43</f>
        <v>38.206961148319373</v>
      </c>
      <c r="E8" s="99"/>
      <c r="F8" s="99">
        <f ca="1">Surface!T43</f>
        <v>59.646708371061607</v>
      </c>
      <c r="G8" s="99">
        <f ca="1">Surface!W43</f>
        <v>45.18630750484418</v>
      </c>
      <c r="H8" s="99"/>
    </row>
    <row r="9" spans="3:8" x14ac:dyDescent="0.25">
      <c r="C9" s="100" t="s">
        <v>94</v>
      </c>
      <c r="D9" s="99">
        <f ca="1">Surface!F44</f>
        <v>104.53306393012261</v>
      </c>
      <c r="E9" s="99"/>
      <c r="F9" s="99">
        <f ca="1">Surface!T44</f>
        <v>147.75836942536046</v>
      </c>
      <c r="G9" s="99">
        <f ca="1">Surface!W44</f>
        <v>123.28852300993201</v>
      </c>
      <c r="H9" s="99"/>
    </row>
    <row r="10" spans="3:8" x14ac:dyDescent="0.25">
      <c r="C10" s="100" t="s">
        <v>95</v>
      </c>
      <c r="D10" s="99">
        <f ca="1">Surface!F45</f>
        <v>229.03520764362449</v>
      </c>
      <c r="E10" s="99"/>
      <c r="F10" s="99">
        <f ca="1">Surface!T45</f>
        <v>333.73343238186499</v>
      </c>
      <c r="G10" s="99">
        <f ca="1">Surface!W45</f>
        <v>283.44345748237146</v>
      </c>
      <c r="H10" s="99"/>
    </row>
    <row r="11" spans="3:8" x14ac:dyDescent="0.25">
      <c r="C11" s="100" t="s">
        <v>96</v>
      </c>
      <c r="D11" s="99">
        <f ca="1">Surface!F46</f>
        <v>327.78215299642335</v>
      </c>
      <c r="E11" s="99"/>
      <c r="F11" s="99">
        <f ca="1">Surface!T46</f>
        <v>421.00576092236719</v>
      </c>
      <c r="G11" s="99">
        <f ca="1">Surface!W46</f>
        <v>382.48777448171842</v>
      </c>
      <c r="H11" s="99"/>
    </row>
    <row r="12" spans="3:8" x14ac:dyDescent="0.25">
      <c r="C12" s="100"/>
      <c r="D12" s="99"/>
      <c r="E12" s="99"/>
      <c r="F12" s="99"/>
      <c r="G12" s="99"/>
      <c r="H12" s="99"/>
    </row>
    <row r="13" spans="3:8" x14ac:dyDescent="0.25">
      <c r="C13" s="100" t="s">
        <v>97</v>
      </c>
      <c r="D13" s="99">
        <f ca="1">Surface!F48</f>
        <v>2.46350014962713</v>
      </c>
      <c r="E13" s="99"/>
      <c r="F13" s="99">
        <f ca="1">Surface!T48</f>
        <v>2.3679345248411776</v>
      </c>
      <c r="G13" s="99">
        <f ca="1">Surface!W48</f>
        <v>2.513737108371664</v>
      </c>
      <c r="H13" s="99"/>
    </row>
    <row r="14" spans="3:8" x14ac:dyDescent="0.25">
      <c r="C14" s="100" t="s">
        <v>98</v>
      </c>
      <c r="D14" s="99">
        <f>Surface!F50</f>
        <v>0</v>
      </c>
      <c r="E14" s="99"/>
      <c r="F14" s="99">
        <f>Surface!T49</f>
        <v>0</v>
      </c>
      <c r="G14" s="99">
        <f>Surface!W50</f>
        <v>0</v>
      </c>
      <c r="H14" s="100"/>
    </row>
    <row r="15" spans="3:8" x14ac:dyDescent="0.25">
      <c r="C15" s="100"/>
      <c r="D15" s="100"/>
      <c r="E15" s="100"/>
      <c r="F15" s="100"/>
      <c r="G15" s="100"/>
      <c r="H15" s="100"/>
    </row>
    <row r="16" spans="3:8" x14ac:dyDescent="0.25">
      <c r="C16" s="100" t="s">
        <v>99</v>
      </c>
      <c r="D16" s="100"/>
      <c r="E16" s="100"/>
      <c r="F16" s="100"/>
      <c r="G16" s="100"/>
      <c r="H16" s="99"/>
    </row>
    <row r="17" spans="3:8" x14ac:dyDescent="0.25">
      <c r="C17" s="100" t="s">
        <v>100</v>
      </c>
      <c r="D17" s="100"/>
      <c r="E17" s="100"/>
      <c r="F17" s="100"/>
      <c r="G17" s="100"/>
      <c r="H17" s="99"/>
    </row>
    <row r="18" spans="3:8" x14ac:dyDescent="0.25">
      <c r="C18" s="100" t="s">
        <v>101</v>
      </c>
      <c r="D18" s="100"/>
      <c r="E18" s="100"/>
      <c r="F18" s="100"/>
      <c r="G18" s="100"/>
      <c r="H18" s="99"/>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6" sqref="A6"/>
    </sheetView>
  </sheetViews>
  <sheetFormatPr defaultRowHeight="15" x14ac:dyDescent="0.25"/>
  <sheetData>
    <row r="1" spans="1:1" x14ac:dyDescent="0.25">
      <c r="A1" s="104" t="s">
        <v>102</v>
      </c>
    </row>
    <row r="2" spans="1:1" x14ac:dyDescent="0.25">
      <c r="A2" s="104"/>
    </row>
    <row r="3" spans="1:1" x14ac:dyDescent="0.25">
      <c r="A3" s="104" t="s">
        <v>105</v>
      </c>
    </row>
    <row r="4" spans="1:1" x14ac:dyDescent="0.25">
      <c r="A4" s="104"/>
    </row>
    <row r="5" spans="1:1" x14ac:dyDescent="0.25">
      <c r="A5" s="104" t="s">
        <v>106</v>
      </c>
    </row>
    <row r="6" spans="1:1" x14ac:dyDescent="0.25">
      <c r="A6" s="104"/>
    </row>
    <row r="7" spans="1:1" x14ac:dyDescent="0.25">
      <c r="A7" s="104" t="s">
        <v>103</v>
      </c>
    </row>
    <row r="8" spans="1:1" x14ac:dyDescent="0.25">
      <c r="A8" s="104"/>
    </row>
    <row r="9" spans="1:1" x14ac:dyDescent="0.25">
      <c r="A9" s="104"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SubS</vt:lpstr>
      <vt:lpstr>Surface</vt:lpstr>
      <vt:lpstr>Summary</vt:lpstr>
      <vt:lpstr>readme</vt:lpstr>
      <vt:lpstr>Dist Chart</vt:lpstr>
      <vt:lpstr>SubS!Print_Area</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cp:lastPrinted>2014-06-20T00:17:21Z</cp:lastPrinted>
  <dcterms:created xsi:type="dcterms:W3CDTF">2013-10-08T21:21:00Z</dcterms:created>
  <dcterms:modified xsi:type="dcterms:W3CDTF">2014-12-19T18:59:44Z</dcterms:modified>
</cp:coreProperties>
</file>