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MR-3 (166.1-169.6)\"/>
    </mc:Choice>
  </mc:AlternateContent>
  <bookViews>
    <workbookView xWindow="-15" yWindow="-15" windowWidth="12615"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H48" i="1" l="1"/>
  <c r="AD28" i="1" l="1"/>
  <c r="AD19" i="1"/>
  <c r="AD18" i="1"/>
  <c r="AD17" i="1"/>
  <c r="AD16" i="1"/>
  <c r="AD15" i="1"/>
  <c r="AD14" i="1"/>
  <c r="AD13" i="1"/>
  <c r="O13" i="2" l="1"/>
  <c r="H13" i="2"/>
  <c r="E25" i="1" l="1"/>
  <c r="E24" i="1"/>
  <c r="E23" i="1"/>
  <c r="E22" i="1"/>
  <c r="E21" i="1"/>
  <c r="E20" i="1"/>
  <c r="E19" i="1"/>
  <c r="E18" i="1"/>
  <c r="E17" i="1"/>
  <c r="E16" i="1"/>
  <c r="Z6" i="2" l="1"/>
  <c r="E45" i="1"/>
  <c r="D44" i="1"/>
  <c r="C44" i="1"/>
  <c r="E33" i="1"/>
  <c r="E34" i="1"/>
  <c r="E35" i="1"/>
  <c r="E36" i="1"/>
  <c r="E37" i="1"/>
  <c r="E38" i="1"/>
  <c r="E39" i="1"/>
  <c r="E40" i="1"/>
  <c r="E41" i="1"/>
  <c r="E42" i="1"/>
  <c r="E43" i="1"/>
  <c r="E32" i="1"/>
  <c r="F32" i="1" s="1"/>
  <c r="F33" i="1" s="1"/>
  <c r="F34" i="1" s="1"/>
  <c r="E44" i="1" l="1"/>
  <c r="F35" i="1"/>
  <c r="F36" i="1" s="1"/>
  <c r="F37" i="1" s="1"/>
  <c r="F38" i="1" s="1"/>
  <c r="F39" i="1" s="1"/>
  <c r="F40" i="1" s="1"/>
  <c r="F41" i="1" s="1"/>
  <c r="F42" i="1" s="1"/>
  <c r="E26" i="1"/>
  <c r="Z5" i="2"/>
  <c r="Z4" i="2"/>
  <c r="F43" i="1" l="1"/>
  <c r="U14" i="2"/>
  <c r="U15" i="2" s="1"/>
  <c r="U16" i="2" s="1"/>
  <c r="U17" i="2" s="1"/>
  <c r="U18" i="2" s="1"/>
  <c r="U19" i="2" s="1"/>
  <c r="U13" i="2"/>
  <c r="V13" i="2" s="1"/>
  <c r="G14" i="2"/>
  <c r="G15" i="2" l="1"/>
  <c r="U28" i="2"/>
  <c r="U29" i="2" s="1"/>
  <c r="U30" i="2" s="1"/>
  <c r="N28" i="2"/>
  <c r="N29" i="2" s="1"/>
  <c r="N30" i="2" s="1"/>
  <c r="F49" i="2"/>
  <c r="T49" i="2"/>
  <c r="G16" i="2" l="1"/>
  <c r="G17" i="2" s="1"/>
  <c r="G29" i="2" s="1"/>
  <c r="G30" i="2" s="1"/>
  <c r="V15" i="2"/>
  <c r="V16" i="2" s="1"/>
  <c r="V17" i="2" s="1"/>
  <c r="V18" i="2" s="1"/>
  <c r="V19" i="2" s="1"/>
  <c r="V20" i="2" s="1"/>
  <c r="V21" i="2" s="1"/>
  <c r="V22" i="2" s="1"/>
  <c r="V23" i="2" s="1"/>
  <c r="V24" i="2" s="1"/>
  <c r="V25" i="2" s="1"/>
  <c r="V26" i="2" s="1"/>
  <c r="V27" i="2" s="1"/>
  <c r="V28" i="2" s="1"/>
  <c r="V29" i="2" s="1"/>
  <c r="V30" i="2" s="1"/>
  <c r="O15" i="2"/>
  <c r="O16" i="2" s="1"/>
  <c r="O17" i="2" s="1"/>
  <c r="O18" i="2" s="1"/>
  <c r="O19" i="2" s="1"/>
  <c r="O20" i="2" s="1"/>
  <c r="O21" i="2" s="1"/>
  <c r="O22" i="2" s="1"/>
  <c r="O23" i="2" s="1"/>
  <c r="O24" i="2" s="1"/>
  <c r="O25" i="2" s="1"/>
  <c r="O26" i="2" s="1"/>
  <c r="O27" i="2" s="1"/>
  <c r="O28" i="2" s="1"/>
  <c r="O29" i="2" s="1"/>
  <c r="O30" i="2" s="1"/>
  <c r="F14" i="3"/>
  <c r="D14" i="3"/>
  <c r="W14" i="2"/>
  <c r="AE17" i="1"/>
  <c r="AG4" i="1"/>
  <c r="AE3" i="1"/>
  <c r="AE19" i="1"/>
  <c r="AE18" i="1"/>
  <c r="AE16" i="1"/>
  <c r="AE15" i="1"/>
  <c r="AE14" i="1"/>
  <c r="AE13" i="1"/>
  <c r="AD12" i="1"/>
  <c r="AE12" i="1" s="1"/>
  <c r="AD11" i="1"/>
  <c r="AE11" i="1" s="1"/>
  <c r="H15" i="2" l="1"/>
  <c r="H16" i="2" s="1"/>
  <c r="H17" i="2" s="1"/>
  <c r="H18" i="2" s="1"/>
  <c r="H19" i="2" s="1"/>
  <c r="H20" i="2" s="1"/>
  <c r="H21" i="2" s="1"/>
  <c r="AE5" i="1"/>
  <c r="AE28" i="1"/>
  <c r="T44" i="2"/>
  <c r="T42" i="2"/>
  <c r="T45" i="2"/>
  <c r="T43" i="2"/>
  <c r="M49" i="2"/>
  <c r="E14" i="3" s="1"/>
  <c r="W13" i="2"/>
  <c r="AD10" i="1"/>
  <c r="AE10" i="1" s="1"/>
  <c r="AD29" i="1"/>
  <c r="D26" i="1"/>
  <c r="C26" i="1"/>
  <c r="H22" i="2" l="1"/>
  <c r="H23" i="2" s="1"/>
  <c r="H24" i="2" s="1"/>
  <c r="H25" i="2" s="1"/>
  <c r="H26" i="2" s="1"/>
  <c r="H27" i="2" s="1"/>
  <c r="H28" i="2" s="1"/>
  <c r="H29" i="2" s="1"/>
  <c r="H30" i="2" s="1"/>
  <c r="W30" i="2" s="1"/>
  <c r="W15" i="2"/>
  <c r="T47" i="2"/>
  <c r="W49" i="2"/>
  <c r="G14" i="3" s="1"/>
  <c r="M42" i="2"/>
  <c r="E8" i="3" s="1"/>
  <c r="M45" i="2"/>
  <c r="E11" i="3" s="1"/>
  <c r="W16" i="2"/>
  <c r="M44" i="2"/>
  <c r="E10" i="3" s="1"/>
  <c r="M43" i="2"/>
  <c r="E9" i="3" s="1"/>
  <c r="AE29" i="1"/>
  <c r="AF10" i="1"/>
  <c r="F44" i="2" l="1"/>
  <c r="F42" i="2"/>
  <c r="D8" i="3" s="1"/>
  <c r="F43" i="2"/>
  <c r="D9" i="3" s="1"/>
  <c r="F45" i="2"/>
  <c r="D11" i="3" s="1"/>
  <c r="D10" i="3"/>
  <c r="M47" i="2"/>
  <c r="E13" i="3" s="1"/>
  <c r="W17" i="2"/>
  <c r="AG10" i="1"/>
  <c r="AJ10" i="1" s="1"/>
  <c r="AF11" i="1"/>
  <c r="F47" i="2" l="1"/>
  <c r="D13" i="3" s="1"/>
  <c r="W18" i="2"/>
  <c r="AG11" i="1"/>
  <c r="AJ11" i="1" s="1"/>
  <c r="AF12" i="1"/>
  <c r="W19" i="2" l="1"/>
  <c r="AG12" i="1"/>
  <c r="AJ12" i="1" s="1"/>
  <c r="AF13" i="1"/>
  <c r="W20" i="2" l="1"/>
  <c r="AG13" i="1"/>
  <c r="AJ13" i="1" s="1"/>
  <c r="AF14" i="1"/>
  <c r="W21" i="2" l="1"/>
  <c r="AG14" i="1"/>
  <c r="AJ14" i="1" s="1"/>
  <c r="AF15" i="1"/>
  <c r="W22" i="2" l="1"/>
  <c r="AG15" i="1"/>
  <c r="AJ15" i="1" s="1"/>
  <c r="AF16" i="1"/>
  <c r="W23" i="2" l="1"/>
  <c r="AG16" i="1"/>
  <c r="AJ16" i="1" s="1"/>
  <c r="AF17" i="1"/>
  <c r="W24" i="2" l="1"/>
  <c r="AG17" i="1"/>
  <c r="AJ17" i="1" s="1"/>
  <c r="AF18" i="1"/>
  <c r="W25" i="2" l="1"/>
  <c r="F8" i="3"/>
  <c r="F9" i="3"/>
  <c r="AG18" i="1"/>
  <c r="AJ18" i="1" s="1"/>
  <c r="AF19" i="1"/>
  <c r="AG19" i="1" s="1"/>
  <c r="W26" i="2" l="1"/>
  <c r="AJ19" i="1"/>
  <c r="AI21" i="1"/>
  <c r="AJ21" i="1" s="1"/>
  <c r="AI26" i="1"/>
  <c r="AJ26" i="1" s="1"/>
  <c r="AI24" i="1"/>
  <c r="AJ24" i="1" s="1"/>
  <c r="AI22" i="1"/>
  <c r="AJ22" i="1" s="1"/>
  <c r="AI20" i="1"/>
  <c r="AJ20" i="1" s="1"/>
  <c r="AI27" i="1"/>
  <c r="AJ27" i="1" s="1"/>
  <c r="AI25" i="1"/>
  <c r="AJ25" i="1" s="1"/>
  <c r="AI23" i="1"/>
  <c r="AJ23" i="1" s="1"/>
  <c r="AI19" i="1"/>
  <c r="AD36" i="1" l="1"/>
  <c r="H11" i="3" s="1"/>
  <c r="AD34" i="1"/>
  <c r="H9" i="3" s="1"/>
  <c r="AD35" i="1"/>
  <c r="H10" i="3" s="1"/>
  <c r="W27" i="2"/>
  <c r="F11" i="3"/>
  <c r="AD41" i="1"/>
  <c r="H18" i="3" s="1"/>
  <c r="AD33" i="1"/>
  <c r="AD39" i="1"/>
  <c r="H16" i="3" s="1"/>
  <c r="AD40" i="1"/>
  <c r="H17" i="3" s="1"/>
  <c r="AD38" i="1" l="1"/>
  <c r="H13" i="3" s="1"/>
  <c r="H8" i="3"/>
  <c r="F13" i="3"/>
  <c r="F10" i="3"/>
  <c r="W29" i="2"/>
  <c r="W28" i="2"/>
  <c r="W42" i="2" l="1"/>
  <c r="G8" i="3" s="1"/>
  <c r="W45" i="2"/>
  <c r="G11" i="3" s="1"/>
  <c r="W44" i="2"/>
  <c r="G10" i="3" s="1"/>
  <c r="W43" i="2"/>
  <c r="G9" i="3" s="1"/>
  <c r="W47" i="2" l="1"/>
  <c r="G13" i="3" s="1"/>
</calcChain>
</file>

<file path=xl/sharedStrings.xml><?xml version="1.0" encoding="utf-8"?>
<sst xmlns="http://schemas.openxmlformats.org/spreadsheetml/2006/main" count="192" uniqueCount="143">
  <si>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</si>
  <si>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</si>
  <si>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</si>
  <si>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</si>
  <si>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</si>
  <si>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</si>
  <si>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</si>
  <si>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</si>
  <si>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</si>
  <si>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</si>
  <si>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</si>
  <si>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</si>
  <si>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</si>
  <si>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</si>
  <si>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</si>
  <si>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</si>
  <si>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</si>
  <si>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</si>
  <si>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</si>
  <si>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</si>
  <si>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</si>
  <si>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</si>
  <si>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</si>
  <si>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</si>
  <si>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</si>
  <si>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</si>
  <si>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</si>
  <si>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</si>
  <si>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</si>
  <si>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</si>
  <si>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</si>
  <si>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</si>
  <si>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</si>
  <si>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</si>
  <si>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</si>
  <si>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</si>
  <si>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</si>
  <si>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</si>
  <si>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</si>
  <si>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</si>
  <si>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</si>
  <si>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</si>
  <si>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</si>
  <si>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</si>
  <si>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</si>
  <si>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</si>
  <si>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</si>
  <si>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</si>
  <si>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</si>
  <si>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</si>
  <si>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</si>
  <si>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</si>
  <si>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</si>
  <si>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</si>
  <si>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Sieve Size (mm)</t>
  </si>
  <si>
    <t>Total Weight (lbs)           (Containers + material)</t>
  </si>
  <si>
    <t>Sediment Weight  (lbs)</t>
  </si>
  <si>
    <t>CumulativeWeight of Samples (lbs)</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</si>
  <si>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</si>
  <si>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</si>
  <si>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</si>
  <si>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</si>
  <si>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</si>
  <si>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</si>
  <si>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</si>
  <si>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</si>
  <si>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</si>
  <si>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</si>
  <si>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</si>
  <si>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</si>
  <si>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</si>
  <si>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</si>
  <si>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</si>
  <si>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</si>
  <si>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</si>
  <si>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</si>
  <si>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</si>
  <si>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</si>
  <si>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</si>
  <si>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</si>
  <si>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</si>
  <si>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</si>
  <si>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</si>
  <si>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</si>
  <si>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</si>
  <si>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</si>
  <si>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</si>
  <si>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</si>
  <si>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</si>
  <si>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</si>
  <si>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</si>
  <si>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</si>
  <si>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</si>
  <si>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</si>
  <si>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</si>
  <si>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</si>
  <si>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</si>
  <si>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</si>
  <si>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</si>
  <si>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</si>
  <si>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</si>
  <si>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</si>
  <si>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</si>
  <si>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</si>
  <si>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</si>
  <si>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</si>
  <si>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</si>
  <si>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</si>
  <si>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</si>
  <si>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</si>
  <si>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</si>
  <si>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</si>
  <si>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</si>
  <si>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</si>
  <si>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</si>
  <si>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</si>
  <si>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</si>
  <si>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</si>
  <si>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</si>
  <si>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n/a</t>
  </si>
  <si>
    <t>RAV</t>
  </si>
  <si>
    <t xml:space="preserve"> Container Weight (lbs)</t>
  </si>
  <si>
    <t>Susitna</t>
  </si>
  <si>
    <t>7/9/14 1544</t>
  </si>
  <si>
    <t>DBT</t>
  </si>
  <si>
    <t>S3</t>
  </si>
  <si>
    <t>yes</t>
  </si>
  <si>
    <t>main chan</t>
  </si>
  <si>
    <t>DT, BT, MP, RV</t>
  </si>
  <si>
    <t>3 x 100', 1'</t>
  </si>
  <si>
    <t>head of Devil's Island</t>
  </si>
  <si>
    <t>undisturbed site</t>
  </si>
  <si>
    <t>view looking up center transect</t>
  </si>
  <si>
    <t>excavated hole</t>
  </si>
  <si>
    <t>view downstream at head of island</t>
  </si>
  <si>
    <t>filled in hole</t>
  </si>
  <si>
    <t>RAV, DBT, MP, RET</t>
  </si>
  <si>
    <t>sample collected on 7-9-14</t>
  </si>
  <si>
    <t>sieved on 7-10-14</t>
  </si>
  <si>
    <t>452.4 - 450.4</t>
  </si>
  <si>
    <t xml:space="preserve"> </t>
  </si>
  <si>
    <t>Surface Sample Data Sheet</t>
  </si>
  <si>
    <t>Surface Sample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</si>
</sst>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9" fontId="1" fillId="0" borderId="0" applyFont="0" applyFill="0" applyBorder="0" applyAlignment="0" applyProtection="0"/>
  </cellStyleXfs>
  <cellXfs count="191">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4" borderId="0" xfId="1" applyNumberFormat="1" applyFont="1" applyFill="1"/>
    <xf numFmtId="164" fontId="2" fillId="4" borderId="4" xfId="0" applyNumberFormat="1" applyFont="1" applyFill="1" applyBorder="1" applyAlignment="1">
      <alignment horizontal="left"/>
    </xf>
    <xf numFmtId="164" fontId="2" fillId="4" borderId="4" xfId="0" quotePrefix="1" applyNumberFormat="1" applyFont="1" applyFill="1" applyBorder="1" applyAlignment="1">
      <alignment horizontal="left"/>
    </xf>
    <xf numFmtId="0" fontId="2" fillId="4" borderId="4" xfId="0" applyFont="1" applyFill="1" applyBorder="1" applyAlignment="1">
      <alignment horizontal="left"/>
    </xf>
    <xf numFmtId="9" fontId="2" fillId="0" borderId="4" xfId="1" applyNumberFormat="1" applyFont="1" applyBorder="1"/>
    <xf numFmtId="0" fontId="2" fillId="4" borderId="0" xfId="0" applyFont="1" applyFill="1"/>
    <xf numFmtId="0" fontId="0" fillId="4" borderId="0" xfId="0" applyFill="1" applyAlignment="1">
      <alignment horizontal="center"/>
    </xf>
    <xf numFmtId="164" fontId="0" fillId="4" borderId="0" xfId="0" applyNumberFormat="1" applyFill="1" applyAlignment="1">
      <alignment horizontal="center"/>
    </xf>
    <xf numFmtId="0" fontId="0" fillId="4" borderId="0" xfId="0" applyFill="1"/>
    <xf numFmtId="0" fontId="2" fillId="4" borderId="0" xfId="0" applyFont="1" applyFill="1" applyBorder="1"/>
    <xf numFmtId="0" fontId="3" fillId="4" borderId="0" xfId="0" applyFont="1" applyFill="1" applyBorder="1"/>
    <xf numFmtId="2" fontId="2" fillId="4" borderId="0" xfId="0" applyNumberFormat="1" applyFont="1" applyFill="1" applyBorder="1"/>
    <xf numFmtId="0" fontId="0" fillId="0" borderId="0" xfId="0" applyAlignment="1">
      <alignment vertical="center"/>
    </xf>
    <xf numFmtId="0" fontId="0" fillId="4" borderId="0" xfId="0" applyFill="1" applyAlignment="1">
      <alignment horizontal="center"/>
    </xf>
    <xf numFmtId="164" fontId="2" fillId="0" borderId="4" xfId="0" applyNumberFormat="1" applyFont="1" applyFill="1" applyBorder="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4" borderId="13" xfId="0" quotePrefix="1" applyFont="1" applyFill="1" applyBorder="1" applyAlignment="1">
      <alignment horizontal="center" vertical="center"/>
    </xf>
    <xf numFmtId="0" fontId="2" fillId="4" borderId="6" xfId="0" applyFont="1" applyFill="1" applyBorder="1" applyAlignment="1">
      <alignment horizontal="right" vertical="center" wrapText="1"/>
    </xf>
    <xf numFmtId="0" fontId="2" fillId="4" borderId="6" xfId="0" quotePrefix="1" applyFont="1" applyFill="1" applyBorder="1" applyAlignment="1">
      <alignment horizontal="center" vertical="center"/>
    </xf>
    <xf numFmtId="164" fontId="2" fillId="0" borderId="7" xfId="0" applyNumberFormat="1" applyFont="1" applyFill="1" applyBorder="1"/>
    <xf numFmtId="0" fontId="2" fillId="4" borderId="16" xfId="0" quotePrefix="1" applyFont="1" applyFill="1" applyBorder="1" applyAlignment="1">
      <alignment horizontal="center" vertical="center"/>
    </xf>
    <xf numFmtId="0" fontId="2" fillId="4" borderId="4" xfId="0" applyFont="1" applyFill="1" applyBorder="1" applyAlignment="1">
      <alignment horizontal="right" vertical="center" wrapText="1"/>
    </xf>
    <xf numFmtId="0" fontId="2" fillId="4" borderId="4" xfId="0" quotePrefix="1" applyFont="1" applyFill="1" applyBorder="1" applyAlignment="1">
      <alignment horizontal="center" vertical="center"/>
    </xf>
    <xf numFmtId="164" fontId="2" fillId="0" borderId="9" xfId="0" applyNumberFormat="1" applyFont="1" applyFill="1" applyBorder="1"/>
    <xf numFmtId="0" fontId="2" fillId="4" borderId="16" xfId="0" applyFont="1" applyFill="1" applyBorder="1" applyAlignment="1">
      <alignment horizontal="center" vertical="center"/>
    </xf>
    <xf numFmtId="0" fontId="2" fillId="4" borderId="4" xfId="0" applyFont="1" applyFill="1" applyBorder="1" applyAlignment="1">
      <alignment horizontal="center" vertical="center"/>
    </xf>
    <xf numFmtId="164" fontId="2" fillId="4" borderId="16" xfId="0" quotePrefix="1" applyNumberFormat="1" applyFont="1" applyFill="1" applyBorder="1" applyAlignment="1">
      <alignment horizontal="center" vertical="center"/>
    </xf>
    <xf numFmtId="164" fontId="2" fillId="4" borderId="4" xfId="0" quotePrefix="1" applyNumberFormat="1" applyFont="1" applyFill="1" applyBorder="1" applyAlignment="1">
      <alignment horizontal="center" vertical="center"/>
    </xf>
    <xf numFmtId="0" fontId="2" fillId="4" borderId="18" xfId="0" applyFont="1" applyFill="1" applyBorder="1" applyAlignment="1">
      <alignment horizontal="center" vertical="center"/>
    </xf>
    <xf numFmtId="0" fontId="2" fillId="4" borderId="12" xfId="0" applyFont="1" applyFill="1" applyBorder="1" applyAlignment="1">
      <alignment horizontal="center" vertical="center"/>
    </xf>
    <xf numFmtId="164" fontId="2" fillId="0" borderId="29"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31" xfId="0" applyFont="1" applyFill="1" applyBorder="1"/>
    <xf numFmtId="0" fontId="2" fillId="0" borderId="31" xfId="0" applyFont="1" applyBorder="1"/>
    <xf numFmtId="0" fontId="2" fillId="0" borderId="31"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164" fontId="2" fillId="0" borderId="2" xfId="0" applyNumberFormat="1" applyFont="1" applyBorder="1"/>
    <xf numFmtId="0" fontId="2" fillId="0" borderId="4" xfId="0" applyFont="1" applyFill="1" applyBorder="1" applyAlignment="1">
      <alignment horizontal="center" vertical="center"/>
    </xf>
    <xf numFmtId="0" fontId="2" fillId="0" borderId="4" xfId="0" applyFont="1" applyFill="1" applyBorder="1" applyAlignment="1">
      <alignment horizontal="center" wrapText="1"/>
    </xf>
    <xf numFmtId="0" fontId="2" fillId="0" borderId="24" xfId="0" applyFont="1" applyBorder="1" applyAlignment="1">
      <alignment horizontal="center"/>
    </xf>
    <xf numFmtId="164" fontId="2" fillId="0" borderId="24" xfId="0" applyNumberFormat="1" applyFont="1" applyBorder="1" applyAlignment="1">
      <alignment horizontal="center"/>
    </xf>
    <xf numFmtId="0" fontId="2" fillId="0" borderId="32" xfId="0" applyFont="1" applyBorder="1" applyAlignment="1">
      <alignment horizontal="center"/>
    </xf>
    <xf numFmtId="164" fontId="2" fillId="0" borderId="32" xfId="0" applyNumberFormat="1" applyFont="1" applyBorder="1" applyAlignment="1">
      <alignment horizontal="center"/>
    </xf>
    <xf numFmtId="164" fontId="2" fillId="5" borderId="24" xfId="0" applyNumberFormat="1" applyFont="1" applyFill="1" applyBorder="1" applyAlignment="1">
      <alignment horizontal="center"/>
    </xf>
    <xf numFmtId="164" fontId="2" fillId="0" borderId="10" xfId="0" applyNumberFormat="1" applyFont="1" applyFill="1" applyBorder="1" applyAlignment="1">
      <alignment horizontal="center" vertical="center"/>
    </xf>
    <xf numFmtId="0" fontId="2" fillId="0" borderId="32" xfId="0" applyFont="1" applyBorder="1" applyAlignment="1">
      <alignment horizontal="center" vertical="center" wrapText="1"/>
    </xf>
    <xf numFmtId="0" fontId="2" fillId="0" borderId="32" xfId="0" applyFont="1" applyFill="1" applyBorder="1" applyAlignment="1">
      <alignment horizontal="center" vertical="center" wrapText="1"/>
    </xf>
    <xf numFmtId="164" fontId="2" fillId="0" borderId="33" xfId="0" applyNumberFormat="1" applyFont="1" applyFill="1" applyBorder="1" applyAlignment="1">
      <alignment horizontal="center"/>
    </xf>
    <xf numFmtId="0" fontId="2" fillId="0" borderId="4" xfId="0" applyFont="1" applyFill="1" applyBorder="1" applyAlignment="1"/>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27"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0" fillId="4" borderId="0" xfId="0" applyFill="1" applyAlignment="1">
      <alignment horizontal="center"/>
    </xf>
    <xf numFmtId="164" fontId="2" fillId="4" borderId="4" xfId="0" applyNumberFormat="1" applyFont="1" applyFill="1" applyBorder="1" applyAlignment="1">
      <alignment horizontal="righ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167.0</a:t>
            </a:r>
            <a:endParaRPr lang="en-US"/>
          </a:p>
        </c:rich>
      </c:tx>
      <c:layout>
        <c:manualLayout>
          <c:xMode val="edge"/>
          <c:yMode val="edge"/>
          <c:x val="0.36147967926027597"/>
          <c:y val="2.8337694469259926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Surface!$H$14:$H$30</c:f>
              <c:numCache>
                <c:formatCode>General</c:formatCode>
                <c:ptCount val="17"/>
                <c:pt idx="0">
                  <c:v>0</c:v>
                </c:pt>
                <c:pt idx="1">
                  <c:v>0</c:v>
                </c:pt>
                <c:pt idx="2">
                  <c:v>0</c:v>
                </c:pt>
                <c:pt idx="3">
                  <c:v>0</c:v>
                </c:pt>
                <c:pt idx="4">
                  <c:v>0</c:v>
                </c:pt>
                <c:pt idx="5">
                  <c:v>1</c:v>
                </c:pt>
                <c:pt idx="6">
                  <c:v>2</c:v>
                </c:pt>
                <c:pt idx="7">
                  <c:v>5</c:v>
                </c:pt>
                <c:pt idx="8">
                  <c:v>21</c:v>
                </c:pt>
                <c:pt idx="9">
                  <c:v>36</c:v>
                </c:pt>
                <c:pt idx="10">
                  <c:v>55</c:v>
                </c:pt>
                <c:pt idx="11">
                  <c:v>73</c:v>
                </c:pt>
                <c:pt idx="12">
                  <c:v>94</c:v>
                </c:pt>
                <c:pt idx="13">
                  <c:v>99</c:v>
                </c:pt>
                <c:pt idx="14">
                  <c:v>100</c:v>
                </c:pt>
                <c:pt idx="15">
                  <c:v>100</c:v>
                </c:pt>
                <c:pt idx="16">
                  <c:v>100</c:v>
                </c:pt>
              </c:numCache>
            </c:numRef>
          </c:yVal>
          <c:smooth val="0"/>
        </c:ser>
        <c:ser>
          <c:idx val="4"/>
          <c:order val="11"/>
          <c:tx>
            <c:v>Surface Sample Center</c:v>
          </c:tx>
          <c:spPr>
            <a:ln>
              <a:solidFill>
                <a:schemeClr val="accent6">
                  <a:lumMod val="75000"/>
                </a:schemeClr>
              </a:solidFill>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Surface!$O$14:$O$30</c:f>
              <c:numCache>
                <c:formatCode>0.0</c:formatCode>
                <c:ptCount val="17"/>
                <c:pt idx="0" formatCode="General">
                  <c:v>0</c:v>
                </c:pt>
                <c:pt idx="1">
                  <c:v>0</c:v>
                </c:pt>
                <c:pt idx="2">
                  <c:v>0</c:v>
                </c:pt>
                <c:pt idx="3">
                  <c:v>0</c:v>
                </c:pt>
                <c:pt idx="4">
                  <c:v>0</c:v>
                </c:pt>
                <c:pt idx="5">
                  <c:v>0.99009900990099009</c:v>
                </c:pt>
                <c:pt idx="6">
                  <c:v>3.9603960396039604</c:v>
                </c:pt>
                <c:pt idx="7">
                  <c:v>7.9207920792079207</c:v>
                </c:pt>
                <c:pt idx="8">
                  <c:v>17.821782178217823</c:v>
                </c:pt>
                <c:pt idx="9">
                  <c:v>40.594059405940598</c:v>
                </c:pt>
                <c:pt idx="10">
                  <c:v>61.386138613861391</c:v>
                </c:pt>
                <c:pt idx="11">
                  <c:v>77.227722772277232</c:v>
                </c:pt>
                <c:pt idx="12">
                  <c:v>93.069306930693074</c:v>
                </c:pt>
                <c:pt idx="13">
                  <c:v>100</c:v>
                </c:pt>
                <c:pt idx="14">
                  <c:v>100</c:v>
                </c:pt>
                <c:pt idx="15">
                  <c:v>100</c:v>
                </c:pt>
                <c:pt idx="16" formatCode="General">
                  <c:v>100</c:v>
                </c:pt>
              </c:numCache>
            </c:numRef>
          </c:yVal>
          <c:smooth val="0"/>
        </c:ser>
        <c:ser>
          <c:idx val="14"/>
          <c:order val="12"/>
          <c:tx>
            <c:v>Surface Sample Right</c:v>
          </c:tx>
          <c:spPr>
            <a:ln>
              <a:solidFill>
                <a:schemeClr val="accent6">
                  <a:lumMod val="75000"/>
                </a:schemeClr>
              </a:solidFill>
              <a:prstDash val="sysDash"/>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Surface!$V$14:$V$30</c:f>
              <c:numCache>
                <c:formatCode>General</c:formatCode>
                <c:ptCount val="17"/>
                <c:pt idx="0">
                  <c:v>0</c:v>
                </c:pt>
                <c:pt idx="1">
                  <c:v>0</c:v>
                </c:pt>
                <c:pt idx="2" formatCode="0.0">
                  <c:v>0</c:v>
                </c:pt>
                <c:pt idx="3" formatCode="0.0">
                  <c:v>0</c:v>
                </c:pt>
                <c:pt idx="4" formatCode="0.0">
                  <c:v>0</c:v>
                </c:pt>
                <c:pt idx="5" formatCode="0.0">
                  <c:v>0</c:v>
                </c:pt>
                <c:pt idx="6" formatCode="0.0">
                  <c:v>0</c:v>
                </c:pt>
                <c:pt idx="7" formatCode="0.0">
                  <c:v>0.98039215686274506</c:v>
                </c:pt>
                <c:pt idx="8" formatCode="0.0">
                  <c:v>6.8627450980392162</c:v>
                </c:pt>
                <c:pt idx="9" formatCode="0.0">
                  <c:v>20.588235294117645</c:v>
                </c:pt>
                <c:pt idx="10" formatCode="0.0">
                  <c:v>47.058823529411761</c:v>
                </c:pt>
                <c:pt idx="11" formatCode="0.0">
                  <c:v>71.568627450980387</c:v>
                </c:pt>
                <c:pt idx="12" formatCode="0.0">
                  <c:v>87.254901960784309</c:v>
                </c:pt>
                <c:pt idx="13" formatCode="0.0">
                  <c:v>100</c:v>
                </c:pt>
                <c:pt idx="14" formatCode="0.0">
                  <c:v>100</c:v>
                </c:pt>
                <c:pt idx="15">
                  <c:v>100</c:v>
                </c:pt>
                <c:pt idx="16">
                  <c:v>100</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Surface!$W$14:$W$30</c:f>
              <c:numCache>
                <c:formatCode>0.0</c:formatCode>
                <c:ptCount val="17"/>
                <c:pt idx="0">
                  <c:v>0</c:v>
                </c:pt>
                <c:pt idx="1">
                  <c:v>0</c:v>
                </c:pt>
                <c:pt idx="2">
                  <c:v>0</c:v>
                </c:pt>
                <c:pt idx="3">
                  <c:v>0</c:v>
                </c:pt>
                <c:pt idx="4">
                  <c:v>0</c:v>
                </c:pt>
                <c:pt idx="5">
                  <c:v>0.6633663366336634</c:v>
                </c:pt>
                <c:pt idx="6">
                  <c:v>1.9867986798679869</c:v>
                </c:pt>
                <c:pt idx="7">
                  <c:v>4.633728078690222</c:v>
                </c:pt>
                <c:pt idx="8">
                  <c:v>15.228175758752348</c:v>
                </c:pt>
                <c:pt idx="9">
                  <c:v>32.394098233352743</c:v>
                </c:pt>
                <c:pt idx="10">
                  <c:v>54.481654047757722</c:v>
                </c:pt>
                <c:pt idx="11">
                  <c:v>73.932116741085864</c:v>
                </c:pt>
                <c:pt idx="12">
                  <c:v>91.441402963825794</c:v>
                </c:pt>
                <c:pt idx="13">
                  <c:v>99.666666666666671</c:v>
                </c:pt>
                <c:pt idx="14">
                  <c:v>100</c:v>
                </c:pt>
                <c:pt idx="15">
                  <c:v>100</c:v>
                </c:pt>
                <c:pt idx="16">
                  <c:v>100</c:v>
                </c:pt>
              </c:numCache>
            </c:numRef>
          </c:yVal>
          <c:smooth val="0"/>
        </c:ser>
        <c:ser>
          <c:idx val="1"/>
          <c:order val="14"/>
          <c:tx>
            <c:v>Subsurface: Field and Lab </c:v>
          </c:tx>
          <c:spPr>
            <a:ln w="38100">
              <a:solidFill>
                <a:srgbClr val="0070C0"/>
              </a:solidFill>
              <a:prstDash val="solid"/>
            </a:ln>
          </c:spPr>
          <c:marker>
            <c:symbol val="none"/>
          </c:marker>
          <c:xVal>
            <c:numRef>
              <c:f>SubS!$AC$10:$AC$27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SubS!$AJ$10:$AJ$27</c:f>
              <c:numCache>
                <c:formatCode>_(* #,##0.00_);_(* \(#,##0.00\);_(* "-"??_);_(@_)</c:formatCode>
                <c:ptCount val="18"/>
                <c:pt idx="0">
                  <c:v>100</c:v>
                </c:pt>
                <c:pt idx="1">
                  <c:v>100</c:v>
                </c:pt>
                <c:pt idx="2">
                  <c:v>100</c:v>
                </c:pt>
                <c:pt idx="3">
                  <c:v>97.263287303905059</c:v>
                </c:pt>
                <c:pt idx="4">
                  <c:v>87.397323046554405</c:v>
                </c:pt>
                <c:pt idx="5">
                  <c:v>72.149923739739734</c:v>
                </c:pt>
                <c:pt idx="6">
                  <c:v>57.776432688820954</c:v>
                </c:pt>
                <c:pt idx="7">
                  <c:v>46.001668819908282</c:v>
                </c:pt>
                <c:pt idx="8">
                  <c:v>37.239588675268173</c:v>
                </c:pt>
                <c:pt idx="9">
                  <c:v>31.283213983767432</c:v>
                </c:pt>
                <c:pt idx="10">
                  <c:v>24.400906907338598</c:v>
                </c:pt>
                <c:pt idx="11">
                  <c:v>20.334089089448831</c:v>
                </c:pt>
                <c:pt idx="12">
                  <c:v>17.831431970747435</c:v>
                </c:pt>
                <c:pt idx="13">
                  <c:v>15.015942712208366</c:v>
                </c:pt>
                <c:pt idx="14">
                  <c:v>12.513285593506973</c:v>
                </c:pt>
                <c:pt idx="15">
                  <c:v>5.9438106569158125</c:v>
                </c:pt>
                <c:pt idx="16">
                  <c:v>2.5026571187013946</c:v>
                </c:pt>
                <c:pt idx="17">
                  <c:v>1.1261957034156276</c:v>
                </c:pt>
              </c:numCache>
            </c:numRef>
          </c:yVal>
          <c:smooth val="0"/>
        </c:ser>
        <c:dLbls>
          <c:showLegendKey val="0"/>
          <c:showVal val="0"/>
          <c:showCatName val="0"/>
          <c:showSerName val="0"/>
          <c:showPercent val="0"/>
          <c:showBubbleSize val="0"/>
        </c:dLbls>
        <c:axId val="411732592"/>
        <c:axId val="411731416"/>
      </c:scatterChart>
      <c:valAx>
        <c:axId val="41173259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11731416"/>
        <c:crosses val="autoZero"/>
        <c:crossBetween val="midCat"/>
        <c:majorUnit val="10"/>
        <c:minorUnit val="10"/>
      </c:valAx>
      <c:valAx>
        <c:axId val="41173141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1173259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807397240482554"/>
          <c:h val="0.1837371067233059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47625</xdr:colOff>
      <xdr:row>8</xdr:row>
      <xdr:rowOff>104775</xdr:rowOff>
    </xdr:from>
    <xdr:to>
      <xdr:col>2</xdr:col>
      <xdr:colOff>723900</xdr:colOff>
      <xdr:row>8</xdr:row>
      <xdr:rowOff>438150</xdr:rowOff>
    </xdr:to>
    <xdr:sp macro="" textlink="">
      <xdr:nvSpPr>
        <xdr:cNvPr id="2" name="Oval 1"/>
        <xdr:cNvSpPr/>
      </xdr:nvSpPr>
      <xdr:spPr>
        <a:xfrm>
          <a:off x="1552575" y="1924050"/>
          <a:ext cx="676275" cy="3333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0</xdr:colOff>
      <xdr:row>0</xdr:row>
      <xdr:rowOff>0</xdr:rowOff>
    </xdr:from>
    <xdr:to>
      <xdr:col>22</xdr:col>
      <xdr:colOff>504825</xdr:colOff>
      <xdr:row>44</xdr:row>
      <xdr:rowOff>255270</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8"/>
  <sheetViews>
    <sheetView topLeftCell="J1" workbookViewId="0">
      <selection activeCell="H49" sqref="H49"/>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8" width="8.85546875" style="1"/>
    <col min="29" max="31" width="9.140625" style="1"/>
    <col min="32" max="32" width="11.140625" style="1" customWidth="1"/>
    <col min="33" max="35" width="9.140625" style="1"/>
    <col min="36" max="36" width="9.42578125" style="1" customWidth="1"/>
    <col min="37" max="16384" width="8.85546875" style="1"/>
  </cols>
  <sheetData>
    <row r="1" spans="2:37" ht="22.9" x14ac:dyDescent="0.4">
      <c r="AC1" s="157" t="s">
        <v>24</v>
      </c>
      <c r="AD1" s="157"/>
      <c r="AE1" s="157"/>
      <c r="AF1" s="157"/>
      <c r="AG1" s="157"/>
      <c r="AH1" s="157"/>
      <c r="AI1" s="157"/>
      <c r="AJ1" s="157"/>
      <c r="AK1"/>
    </row>
    <row r="2" spans="2:37" ht="22.9" x14ac:dyDescent="0.4">
      <c r="AC2" s="129"/>
      <c r="AD2" s="129"/>
      <c r="AE2" s="129"/>
      <c r="AF2" s="129"/>
      <c r="AG2" s="129"/>
      <c r="AH2" s="129"/>
      <c r="AI2" s="129"/>
      <c r="AJ2" s="129"/>
      <c r="AK2"/>
    </row>
    <row r="3" spans="2:37" ht="22.9" x14ac:dyDescent="0.4">
      <c r="B3" s="157" t="s">
        <v>96</v>
      </c>
      <c r="C3" s="157"/>
      <c r="D3" s="157"/>
      <c r="E3" s="157"/>
      <c r="F3" s="157"/>
      <c r="G3" s="157"/>
      <c r="H3" s="157"/>
      <c r="I3" s="157"/>
      <c r="J3" s="157"/>
      <c r="AC3" s="1" t="s">
        <v>25</v>
      </c>
      <c r="AE3" s="49">
        <f>+AD28</f>
        <v>151.6</v>
      </c>
      <c r="AF3" s="1" t="s">
        <v>26</v>
      </c>
      <c r="AK3"/>
    </row>
    <row r="4" spans="2:37" ht="14.45" x14ac:dyDescent="0.3">
      <c r="B4" s="6" t="s">
        <v>27</v>
      </c>
      <c r="C4" s="6" t="s">
        <v>122</v>
      </c>
      <c r="D4" s="20"/>
      <c r="E4" s="6"/>
      <c r="F4" s="6" t="s">
        <v>2</v>
      </c>
      <c r="G4" s="6" t="s">
        <v>136</v>
      </c>
      <c r="H4" s="6"/>
      <c r="I4" s="6"/>
      <c r="J4" s="8"/>
      <c r="AC4" s="1" t="s">
        <v>28</v>
      </c>
      <c r="AE4" s="50">
        <v>7611</v>
      </c>
      <c r="AF4" s="1" t="s">
        <v>29</v>
      </c>
      <c r="AG4" s="51">
        <f>+AE4*0.0022046</f>
        <v>16.779210600000003</v>
      </c>
      <c r="AH4" s="1" t="s">
        <v>26</v>
      </c>
      <c r="AK4"/>
    </row>
    <row r="5" spans="2:37" ht="14.45" x14ac:dyDescent="0.3">
      <c r="B5" s="9" t="s">
        <v>5</v>
      </c>
      <c r="C5" s="10">
        <v>41829</v>
      </c>
      <c r="D5" s="52"/>
      <c r="E5" s="9"/>
      <c r="F5" s="9" t="s">
        <v>97</v>
      </c>
      <c r="G5" s="9"/>
      <c r="H5" s="9">
        <v>3219750.4</v>
      </c>
      <c r="I5" s="9"/>
      <c r="J5" s="8"/>
      <c r="AC5" s="1" t="s">
        <v>30</v>
      </c>
      <c r="AE5" s="88">
        <f>1-AG4/E45</f>
        <v>0.10271601069518699</v>
      </c>
      <c r="AK5"/>
    </row>
    <row r="6" spans="2:37" ht="15" thickBot="1" x14ac:dyDescent="0.35">
      <c r="B6" s="9" t="s">
        <v>7</v>
      </c>
      <c r="C6" s="9" t="s">
        <v>124</v>
      </c>
      <c r="D6" s="16"/>
      <c r="E6" s="9"/>
      <c r="F6" s="9" t="s">
        <v>98</v>
      </c>
      <c r="G6" s="15"/>
      <c r="H6" s="9">
        <v>1807437.7</v>
      </c>
      <c r="I6" s="9"/>
      <c r="J6" s="8"/>
      <c r="AE6" s="53"/>
      <c r="AK6"/>
    </row>
    <row r="7" spans="2:37" ht="14.45" x14ac:dyDescent="0.3">
      <c r="B7" s="9" t="s">
        <v>108</v>
      </c>
      <c r="C7" s="9"/>
      <c r="D7" s="9">
        <v>167</v>
      </c>
      <c r="E7" s="9"/>
      <c r="F7" s="14" t="s">
        <v>31</v>
      </c>
      <c r="G7" s="9"/>
      <c r="H7" s="9"/>
      <c r="I7" s="9"/>
      <c r="J7" s="8"/>
      <c r="AD7" s="158" t="s">
        <v>32</v>
      </c>
      <c r="AE7" s="159"/>
      <c r="AF7" s="159"/>
      <c r="AG7" s="160"/>
      <c r="AK7"/>
    </row>
    <row r="8" spans="2:37" ht="14.45" x14ac:dyDescent="0.3">
      <c r="B8" s="9" t="s">
        <v>99</v>
      </c>
      <c r="C8" s="12"/>
      <c r="D8" s="136" t="s">
        <v>125</v>
      </c>
      <c r="E8" s="9"/>
      <c r="F8" s="19"/>
      <c r="G8" s="9"/>
      <c r="H8" s="9"/>
      <c r="I8" s="9"/>
      <c r="J8" s="8"/>
      <c r="AD8" s="17"/>
      <c r="AE8" s="17"/>
      <c r="AF8" s="17"/>
      <c r="AG8" s="17"/>
      <c r="AK8"/>
    </row>
    <row r="9" spans="2:37" ht="42" customHeight="1" x14ac:dyDescent="0.3">
      <c r="B9" s="122" t="s">
        <v>110</v>
      </c>
      <c r="C9" s="139" t="s">
        <v>111</v>
      </c>
      <c r="D9" s="136" t="s">
        <v>112</v>
      </c>
      <c r="E9" s="139" t="s">
        <v>113</v>
      </c>
      <c r="F9" s="137" t="s">
        <v>114</v>
      </c>
      <c r="G9" s="9"/>
      <c r="H9" s="9"/>
      <c r="I9" s="9"/>
      <c r="J9" s="8"/>
      <c r="AD9" s="54" t="s">
        <v>33</v>
      </c>
      <c r="AE9" s="54" t="s">
        <v>34</v>
      </c>
      <c r="AF9" s="55" t="s">
        <v>35</v>
      </c>
      <c r="AG9" s="55" t="s">
        <v>36</v>
      </c>
      <c r="AH9" s="55" t="s">
        <v>37</v>
      </c>
      <c r="AI9" s="55" t="s">
        <v>38</v>
      </c>
      <c r="AJ9" s="55" t="s">
        <v>39</v>
      </c>
      <c r="AK9"/>
    </row>
    <row r="10" spans="2:37" ht="14.45" x14ac:dyDescent="0.3">
      <c r="B10" s="9"/>
      <c r="C10" s="6"/>
      <c r="D10" s="9"/>
      <c r="E10" s="9"/>
      <c r="G10" s="9" t="s">
        <v>137</v>
      </c>
      <c r="H10" s="9"/>
      <c r="I10" s="9"/>
      <c r="J10" s="8"/>
      <c r="AC10" s="89">
        <v>360</v>
      </c>
      <c r="AD10" s="56">
        <f t="shared" ref="AD10:AD12" si="0">+F32</f>
        <v>0</v>
      </c>
      <c r="AE10" s="56">
        <f>+AD10</f>
        <v>0</v>
      </c>
      <c r="AF10" s="56">
        <f>+AE10</f>
        <v>0</v>
      </c>
      <c r="AG10" s="57">
        <f t="shared" ref="AG10:AG19" si="1">1-(AF10/AE$29)</f>
        <v>1</v>
      </c>
      <c r="AH10" s="58"/>
      <c r="AI10" s="58"/>
      <c r="AJ10" s="59">
        <f t="shared" ref="AJ10:AJ19" si="2">+AG10*100</f>
        <v>100</v>
      </c>
      <c r="AK10"/>
    </row>
    <row r="11" spans="2:37" ht="15" thickBot="1" x14ac:dyDescent="0.35">
      <c r="G11" s="9" t="s">
        <v>138</v>
      </c>
      <c r="H11" s="9"/>
      <c r="I11" s="9"/>
      <c r="J11" s="8"/>
      <c r="AC11" s="89">
        <v>256</v>
      </c>
      <c r="AD11" s="56">
        <f t="shared" si="0"/>
        <v>0</v>
      </c>
      <c r="AE11" s="56">
        <f t="shared" ref="AE11:AE19" si="3">+AD11</f>
        <v>0</v>
      </c>
      <c r="AF11" s="60">
        <f t="shared" ref="AF11:AF19" si="4">+AE11+AF10</f>
        <v>0</v>
      </c>
      <c r="AG11" s="57">
        <f t="shared" si="1"/>
        <v>1</v>
      </c>
      <c r="AH11" s="58"/>
      <c r="AI11" s="58"/>
      <c r="AJ11" s="59">
        <f t="shared" si="2"/>
        <v>100</v>
      </c>
      <c r="AK11"/>
    </row>
    <row r="12" spans="2:37" ht="18" thickBot="1" x14ac:dyDescent="0.35">
      <c r="B12" s="161" t="s">
        <v>40</v>
      </c>
      <c r="C12" s="162"/>
      <c r="D12" s="162"/>
      <c r="E12" s="163"/>
      <c r="G12" s="12"/>
      <c r="H12" s="12"/>
      <c r="I12" s="12"/>
      <c r="AC12" s="89">
        <v>180</v>
      </c>
      <c r="AD12" s="56">
        <f t="shared" si="0"/>
        <v>0</v>
      </c>
      <c r="AE12" s="56">
        <f t="shared" si="3"/>
        <v>0</v>
      </c>
      <c r="AF12" s="60">
        <f t="shared" si="4"/>
        <v>0</v>
      </c>
      <c r="AG12" s="57">
        <f t="shared" si="1"/>
        <v>1</v>
      </c>
      <c r="AH12" s="58"/>
      <c r="AI12" s="58"/>
      <c r="AJ12" s="59">
        <f t="shared" si="2"/>
        <v>100</v>
      </c>
      <c r="AK12"/>
    </row>
    <row r="13" spans="2:37" ht="14.45" x14ac:dyDescent="0.3">
      <c r="B13" s="61" t="s">
        <v>41</v>
      </c>
      <c r="C13" s="61" t="s">
        <v>42</v>
      </c>
      <c r="D13" s="61" t="s">
        <v>43</v>
      </c>
      <c r="E13" s="61" t="s">
        <v>44</v>
      </c>
      <c r="G13" s="123"/>
      <c r="H13" s="6"/>
      <c r="I13" s="6"/>
      <c r="AC13" s="89">
        <v>128</v>
      </c>
      <c r="AD13" s="56">
        <f>+E35</f>
        <v>11.9</v>
      </c>
      <c r="AE13" s="56">
        <f t="shared" si="3"/>
        <v>11.9</v>
      </c>
      <c r="AF13" s="60">
        <f t="shared" si="4"/>
        <v>11.9</v>
      </c>
      <c r="AG13" s="57">
        <f t="shared" si="1"/>
        <v>0.97263287303905066</v>
      </c>
      <c r="AH13" s="58"/>
      <c r="AI13" s="58"/>
      <c r="AJ13" s="59">
        <f t="shared" si="2"/>
        <v>97.263287303905059</v>
      </c>
      <c r="AK13"/>
    </row>
    <row r="14" spans="2:37" ht="27.6" x14ac:dyDescent="0.3">
      <c r="B14" s="62" t="s">
        <v>45</v>
      </c>
      <c r="C14" s="63" t="s">
        <v>46</v>
      </c>
      <c r="D14" s="63" t="s">
        <v>47</v>
      </c>
      <c r="E14" s="63" t="s">
        <v>48</v>
      </c>
      <c r="F14" s="1" t="s">
        <v>100</v>
      </c>
      <c r="G14" s="124"/>
      <c r="H14" s="64"/>
      <c r="I14" s="9"/>
      <c r="AC14" s="90">
        <v>90</v>
      </c>
      <c r="AD14" s="56">
        <f t="shared" ref="AD14:AD19" si="5">+E36</f>
        <v>42.9</v>
      </c>
      <c r="AE14" s="56">
        <f t="shared" si="3"/>
        <v>42.9</v>
      </c>
      <c r="AF14" s="60">
        <f t="shared" si="4"/>
        <v>54.8</v>
      </c>
      <c r="AG14" s="57">
        <f t="shared" si="1"/>
        <v>0.87397323046554398</v>
      </c>
      <c r="AH14" s="58"/>
      <c r="AI14" s="58"/>
      <c r="AJ14" s="59">
        <f t="shared" si="2"/>
        <v>87.397323046554405</v>
      </c>
      <c r="AK14"/>
    </row>
    <row r="15" spans="2:37" ht="14.45" x14ac:dyDescent="0.3">
      <c r="B15" s="62"/>
      <c r="C15" s="63"/>
      <c r="D15" s="63"/>
      <c r="E15" s="65" t="s">
        <v>49</v>
      </c>
      <c r="G15" s="21"/>
      <c r="H15" s="8"/>
      <c r="I15" s="8"/>
      <c r="AC15" s="90">
        <v>64</v>
      </c>
      <c r="AD15" s="56">
        <f t="shared" si="5"/>
        <v>66.3</v>
      </c>
      <c r="AE15" s="56">
        <f t="shared" si="3"/>
        <v>66.3</v>
      </c>
      <c r="AF15" s="60">
        <f t="shared" si="4"/>
        <v>121.1</v>
      </c>
      <c r="AG15" s="57">
        <f t="shared" si="1"/>
        <v>0.72149923739739741</v>
      </c>
      <c r="AH15" s="58"/>
      <c r="AI15" s="58"/>
      <c r="AJ15" s="59">
        <f t="shared" si="2"/>
        <v>72.149923739739734</v>
      </c>
      <c r="AK15"/>
    </row>
    <row r="16" spans="2:37" ht="14.45" x14ac:dyDescent="0.3">
      <c r="B16" s="66">
        <v>1</v>
      </c>
      <c r="C16" s="67">
        <v>1.7</v>
      </c>
      <c r="D16" s="67">
        <v>90.8</v>
      </c>
      <c r="E16" s="102">
        <f>D16-C16</f>
        <v>89.1</v>
      </c>
      <c r="G16" s="125" t="s">
        <v>101</v>
      </c>
      <c r="H16" s="126"/>
      <c r="I16" s="8"/>
      <c r="AC16" s="89">
        <v>45</v>
      </c>
      <c r="AD16" s="56">
        <f t="shared" si="5"/>
        <v>62.5</v>
      </c>
      <c r="AE16" s="56">
        <f t="shared" si="3"/>
        <v>62.5</v>
      </c>
      <c r="AF16" s="60">
        <f t="shared" si="4"/>
        <v>183.6</v>
      </c>
      <c r="AG16" s="57">
        <f t="shared" si="1"/>
        <v>0.57776432688820956</v>
      </c>
      <c r="AH16" s="58"/>
      <c r="AI16" s="58"/>
      <c r="AJ16" s="59">
        <f t="shared" si="2"/>
        <v>57.776432688820954</v>
      </c>
      <c r="AK16"/>
    </row>
    <row r="17" spans="2:37" ht="14.45" customHeight="1" x14ac:dyDescent="0.3">
      <c r="B17" s="66">
        <v>2</v>
      </c>
      <c r="C17" s="67">
        <v>1.7</v>
      </c>
      <c r="D17" s="67">
        <v>54</v>
      </c>
      <c r="E17" s="102">
        <f t="shared" ref="E17:E25" si="6">D17-C17</f>
        <v>52.3</v>
      </c>
      <c r="G17" s="127" t="s">
        <v>102</v>
      </c>
      <c r="H17" s="8"/>
      <c r="I17" s="8"/>
      <c r="K17" s="8"/>
      <c r="L17" s="8"/>
      <c r="M17" s="8"/>
      <c r="N17" s="8"/>
      <c r="AC17" s="89">
        <v>32</v>
      </c>
      <c r="AD17" s="56">
        <f t="shared" si="5"/>
        <v>51.199999999999996</v>
      </c>
      <c r="AE17" s="56">
        <f t="shared" si="3"/>
        <v>51.199999999999996</v>
      </c>
      <c r="AF17" s="60">
        <f t="shared" si="4"/>
        <v>234.79999999999998</v>
      </c>
      <c r="AG17" s="57">
        <f t="shared" si="1"/>
        <v>0.46001668819908281</v>
      </c>
      <c r="AH17" s="58"/>
      <c r="AI17" s="58"/>
      <c r="AJ17" s="59">
        <f t="shared" si="2"/>
        <v>46.001668819908282</v>
      </c>
      <c r="AK17"/>
    </row>
    <row r="18" spans="2:37" ht="14.45" x14ac:dyDescent="0.3">
      <c r="B18" s="66">
        <v>3</v>
      </c>
      <c r="C18" s="67">
        <v>1.7</v>
      </c>
      <c r="D18" s="67">
        <v>77.8</v>
      </c>
      <c r="E18" s="102">
        <f t="shared" si="6"/>
        <v>76.099999999999994</v>
      </c>
      <c r="G18" s="128" t="s">
        <v>103</v>
      </c>
      <c r="H18" s="69"/>
      <c r="I18" s="69"/>
      <c r="J18" s="8"/>
      <c r="K18" s="8"/>
      <c r="L18" s="8"/>
      <c r="M18" s="8"/>
      <c r="N18" s="8"/>
      <c r="AC18" s="89">
        <v>22.5</v>
      </c>
      <c r="AD18" s="56">
        <f t="shared" si="5"/>
        <v>38.099999999999994</v>
      </c>
      <c r="AE18" s="56">
        <f t="shared" si="3"/>
        <v>38.099999999999994</v>
      </c>
      <c r="AF18" s="60">
        <f t="shared" si="4"/>
        <v>272.89999999999998</v>
      </c>
      <c r="AG18" s="57">
        <f t="shared" si="1"/>
        <v>0.37239588675268176</v>
      </c>
      <c r="AH18" s="58"/>
      <c r="AI18" s="58"/>
      <c r="AJ18" s="59">
        <f t="shared" si="2"/>
        <v>37.239588675268173</v>
      </c>
      <c r="AK18"/>
    </row>
    <row r="19" spans="2:37" ht="14.45" x14ac:dyDescent="0.3">
      <c r="B19" s="66">
        <v>4</v>
      </c>
      <c r="C19" s="67">
        <v>1.7</v>
      </c>
      <c r="D19" s="67">
        <v>80.599999999999994</v>
      </c>
      <c r="E19" s="102">
        <f t="shared" si="6"/>
        <v>78.899999999999991</v>
      </c>
      <c r="F19" s="13" t="s">
        <v>50</v>
      </c>
      <c r="G19" s="42"/>
      <c r="H19" s="69"/>
      <c r="I19" s="69"/>
      <c r="J19" s="69"/>
      <c r="K19" s="69"/>
      <c r="L19" s="69"/>
      <c r="M19" s="69"/>
      <c r="N19" s="69"/>
      <c r="AC19" s="89">
        <v>16</v>
      </c>
      <c r="AD19" s="56">
        <f t="shared" si="5"/>
        <v>25.900000000000002</v>
      </c>
      <c r="AE19" s="56">
        <f t="shared" si="3"/>
        <v>25.900000000000002</v>
      </c>
      <c r="AF19" s="60">
        <f t="shared" si="4"/>
        <v>298.79999999999995</v>
      </c>
      <c r="AG19" s="57">
        <f t="shared" si="1"/>
        <v>0.31283213983767433</v>
      </c>
      <c r="AH19" s="70">
        <v>100</v>
      </c>
      <c r="AI19" s="57">
        <f t="shared" ref="AI19:AI27" si="7">+AH19/100*AG$19</f>
        <v>0.31283213983767433</v>
      </c>
      <c r="AJ19" s="59">
        <f t="shared" si="2"/>
        <v>31.283213983767432</v>
      </c>
      <c r="AK19"/>
    </row>
    <row r="20" spans="2:37" ht="14.45" x14ac:dyDescent="0.3">
      <c r="B20" s="66">
        <v>5</v>
      </c>
      <c r="C20" s="67">
        <v>1.7</v>
      </c>
      <c r="D20" s="67">
        <v>82</v>
      </c>
      <c r="E20" s="102">
        <f t="shared" si="6"/>
        <v>80.3</v>
      </c>
      <c r="G20" s="17"/>
      <c r="H20" s="32"/>
      <c r="I20" s="32"/>
      <c r="J20" s="32"/>
      <c r="K20" s="72"/>
      <c r="L20" s="72"/>
      <c r="M20" s="72"/>
      <c r="N20" s="72"/>
      <c r="AC20" s="89">
        <v>8</v>
      </c>
      <c r="AD20" s="58"/>
      <c r="AE20" s="58"/>
      <c r="AF20" s="58"/>
      <c r="AG20" s="58"/>
      <c r="AH20" s="70">
        <v>78</v>
      </c>
      <c r="AI20" s="57">
        <f t="shared" si="7"/>
        <v>0.24400906907338599</v>
      </c>
      <c r="AJ20" s="59">
        <f t="shared" ref="AJ20:AJ27" si="8">+AI20*100</f>
        <v>24.400906907338598</v>
      </c>
      <c r="AK20"/>
    </row>
    <row r="21" spans="2:37" ht="14.45" x14ac:dyDescent="0.3">
      <c r="B21" s="66">
        <v>6</v>
      </c>
      <c r="C21" s="67">
        <v>1.7</v>
      </c>
      <c r="D21" s="67">
        <v>77.400000000000006</v>
      </c>
      <c r="E21" s="102">
        <f t="shared" si="6"/>
        <v>75.7</v>
      </c>
      <c r="G21" s="17"/>
      <c r="H21" s="32"/>
      <c r="I21" s="32"/>
      <c r="J21" s="32"/>
      <c r="K21" s="72"/>
      <c r="L21" s="72"/>
      <c r="M21" s="72"/>
      <c r="N21" s="72"/>
      <c r="AC21" s="89">
        <v>4</v>
      </c>
      <c r="AD21" s="58"/>
      <c r="AE21" s="58"/>
      <c r="AF21" s="58"/>
      <c r="AG21" s="58"/>
      <c r="AH21" s="70">
        <v>65</v>
      </c>
      <c r="AI21" s="57">
        <f t="shared" si="7"/>
        <v>0.20334089089448831</v>
      </c>
      <c r="AJ21" s="59">
        <f t="shared" si="8"/>
        <v>20.334089089448831</v>
      </c>
      <c r="AK21"/>
    </row>
    <row r="22" spans="2:37" ht="14.45" x14ac:dyDescent="0.3">
      <c r="B22" s="66">
        <v>7</v>
      </c>
      <c r="C22" s="67"/>
      <c r="D22" s="67"/>
      <c r="E22" s="102">
        <f t="shared" si="6"/>
        <v>0</v>
      </c>
      <c r="G22" s="17"/>
      <c r="H22" s="32"/>
      <c r="I22" s="32"/>
      <c r="J22" s="32"/>
      <c r="K22" s="72"/>
      <c r="L22" s="72"/>
      <c r="M22" s="72"/>
      <c r="N22" s="72"/>
      <c r="AC22" s="89">
        <v>2</v>
      </c>
      <c r="AD22" s="58"/>
      <c r="AE22" s="58"/>
      <c r="AF22" s="58"/>
      <c r="AG22" s="58"/>
      <c r="AH22" s="70">
        <v>57</v>
      </c>
      <c r="AI22" s="57">
        <f t="shared" si="7"/>
        <v>0.17831431970747436</v>
      </c>
      <c r="AJ22" s="59">
        <f t="shared" si="8"/>
        <v>17.831431970747435</v>
      </c>
      <c r="AK22"/>
    </row>
    <row r="23" spans="2:37" ht="14.45" x14ac:dyDescent="0.3">
      <c r="B23" s="66">
        <v>8</v>
      </c>
      <c r="C23" s="67"/>
      <c r="D23" s="67"/>
      <c r="E23" s="102">
        <f t="shared" si="6"/>
        <v>0</v>
      </c>
      <c r="G23" s="17"/>
      <c r="H23" s="32"/>
      <c r="I23" s="32"/>
      <c r="J23" s="32"/>
      <c r="K23" s="72"/>
      <c r="L23" s="72"/>
      <c r="M23" s="72"/>
      <c r="N23" s="72"/>
      <c r="AC23" s="89">
        <v>1</v>
      </c>
      <c r="AD23" s="58"/>
      <c r="AE23" s="58"/>
      <c r="AF23" s="58"/>
      <c r="AG23" s="58"/>
      <c r="AH23" s="70">
        <v>48</v>
      </c>
      <c r="AI23" s="57">
        <f t="shared" si="7"/>
        <v>0.15015942712208366</v>
      </c>
      <c r="AJ23" s="59">
        <f t="shared" si="8"/>
        <v>15.015942712208366</v>
      </c>
      <c r="AK23"/>
    </row>
    <row r="24" spans="2:37" ht="14.45" x14ac:dyDescent="0.3">
      <c r="B24" s="66">
        <v>9</v>
      </c>
      <c r="C24" s="67"/>
      <c r="D24" s="67"/>
      <c r="E24" s="102">
        <f t="shared" si="6"/>
        <v>0</v>
      </c>
      <c r="G24" s="17"/>
      <c r="H24" s="32"/>
      <c r="I24" s="32"/>
      <c r="J24" s="32"/>
      <c r="K24" s="72"/>
      <c r="L24" s="72"/>
      <c r="M24" s="72"/>
      <c r="N24" s="72"/>
      <c r="AC24" s="89">
        <v>0.5</v>
      </c>
      <c r="AD24" s="58"/>
      <c r="AE24" s="58"/>
      <c r="AF24" s="58"/>
      <c r="AG24" s="58"/>
      <c r="AH24" s="70">
        <v>40</v>
      </c>
      <c r="AI24" s="57">
        <f t="shared" si="7"/>
        <v>0.12513285593506973</v>
      </c>
      <c r="AJ24" s="59">
        <f t="shared" si="8"/>
        <v>12.513285593506973</v>
      </c>
      <c r="AK24"/>
    </row>
    <row r="25" spans="2:37" ht="14.45" x14ac:dyDescent="0.3">
      <c r="B25" s="66">
        <v>10</v>
      </c>
      <c r="C25" s="67"/>
      <c r="D25" s="67"/>
      <c r="E25" s="102">
        <f t="shared" si="6"/>
        <v>0</v>
      </c>
      <c r="G25" s="17"/>
      <c r="H25" s="32"/>
      <c r="I25" s="32"/>
      <c r="J25" s="32" t="s">
        <v>140</v>
      </c>
      <c r="K25" s="72"/>
      <c r="L25" s="72"/>
      <c r="M25" s="72"/>
      <c r="N25" s="72"/>
      <c r="AC25" s="91">
        <v>0.25</v>
      </c>
      <c r="AD25" s="58"/>
      <c r="AE25" s="58"/>
      <c r="AF25" s="58"/>
      <c r="AG25" s="58"/>
      <c r="AH25" s="70">
        <v>19</v>
      </c>
      <c r="AI25" s="57">
        <f t="shared" si="7"/>
        <v>5.9438106569158121E-2</v>
      </c>
      <c r="AJ25" s="59">
        <f t="shared" si="8"/>
        <v>5.9438106569158125</v>
      </c>
      <c r="AK25"/>
    </row>
    <row r="26" spans="2:37" ht="14.45" x14ac:dyDescent="0.3">
      <c r="B26" s="66" t="s">
        <v>51</v>
      </c>
      <c r="C26" s="67">
        <f>SUM(C16:C25)</f>
        <v>10.199999999999999</v>
      </c>
      <c r="D26" s="67">
        <f>SUM(D16:D25)</f>
        <v>462.6</v>
      </c>
      <c r="E26" s="102">
        <f>SUM(E16:E25)</f>
        <v>452.4</v>
      </c>
      <c r="G26" s="17"/>
      <c r="H26" s="32"/>
      <c r="I26" s="32"/>
      <c r="J26" s="32"/>
      <c r="K26" s="72"/>
      <c r="L26" s="72"/>
      <c r="M26" s="72"/>
      <c r="N26" s="72"/>
      <c r="AC26" s="91">
        <v>0.125</v>
      </c>
      <c r="AD26" s="58"/>
      <c r="AE26" s="58"/>
      <c r="AF26" s="58"/>
      <c r="AG26" s="58"/>
      <c r="AH26" s="70">
        <v>8</v>
      </c>
      <c r="AI26" s="92">
        <f t="shared" si="7"/>
        <v>2.5026571187013947E-2</v>
      </c>
      <c r="AJ26" s="59">
        <f t="shared" si="8"/>
        <v>2.5026571187013946</v>
      </c>
      <c r="AK26"/>
    </row>
    <row r="27" spans="2:37" ht="14.45" x14ac:dyDescent="0.3">
      <c r="B27" s="17"/>
      <c r="C27" s="8"/>
      <c r="D27" s="8"/>
      <c r="E27" s="8"/>
      <c r="G27" s="103"/>
      <c r="H27" s="104"/>
      <c r="I27" s="104"/>
      <c r="J27" s="74"/>
      <c r="K27" s="8"/>
      <c r="L27" s="8"/>
      <c r="M27" s="8"/>
      <c r="N27" s="8"/>
      <c r="AC27" s="91">
        <v>6.25E-2</v>
      </c>
      <c r="AD27" s="56"/>
      <c r="AE27" s="56"/>
      <c r="AF27" s="56"/>
      <c r="AG27" s="56"/>
      <c r="AH27" s="70">
        <v>3.6</v>
      </c>
      <c r="AI27" s="92">
        <f t="shared" si="7"/>
        <v>1.1261957034156276E-2</v>
      </c>
      <c r="AJ27" s="59">
        <f t="shared" si="8"/>
        <v>1.1261957034156276</v>
      </c>
      <c r="AK27"/>
    </row>
    <row r="28" spans="2:37" ht="17.45" x14ac:dyDescent="0.3">
      <c r="B28" s="164" t="s">
        <v>52</v>
      </c>
      <c r="C28" s="165"/>
      <c r="D28" s="165"/>
      <c r="E28" s="165"/>
      <c r="F28" s="165"/>
      <c r="G28" s="69"/>
      <c r="H28" s="8"/>
      <c r="I28" s="8"/>
      <c r="J28" s="8"/>
      <c r="K28" s="8"/>
      <c r="AC28" s="49"/>
      <c r="AD28" s="49">
        <f>+E43</f>
        <v>151.6</v>
      </c>
      <c r="AE28" s="93">
        <f>(AG4/E45)*AD28</f>
        <v>136.02825277860964</v>
      </c>
      <c r="AH28"/>
    </row>
    <row r="29" spans="2:37" ht="13.9" x14ac:dyDescent="0.25">
      <c r="B29" s="75" t="s">
        <v>41</v>
      </c>
      <c r="C29" s="75" t="s">
        <v>42</v>
      </c>
      <c r="D29" s="75" t="s">
        <v>43</v>
      </c>
      <c r="E29" s="75" t="s">
        <v>44</v>
      </c>
      <c r="F29" s="75" t="s">
        <v>53</v>
      </c>
      <c r="AD29" s="1">
        <f>SUM(AD10:AD28)</f>
        <v>450.4</v>
      </c>
      <c r="AE29" s="1">
        <f>SUM(AE10:AE28)</f>
        <v>434.82825277860957</v>
      </c>
    </row>
    <row r="30" spans="2:37" ht="55.15" x14ac:dyDescent="0.25">
      <c r="B30" s="55" t="s">
        <v>54</v>
      </c>
      <c r="C30" s="55" t="s">
        <v>55</v>
      </c>
      <c r="D30" s="55" t="s">
        <v>121</v>
      </c>
      <c r="E30" s="55" t="s">
        <v>56</v>
      </c>
      <c r="F30" s="55" t="s">
        <v>57</v>
      </c>
      <c r="H30" s="77"/>
      <c r="AF30" s="49"/>
    </row>
    <row r="31" spans="2:37" ht="17.45" x14ac:dyDescent="0.3">
      <c r="B31" s="56"/>
      <c r="C31" s="55"/>
      <c r="D31" s="55"/>
      <c r="E31" s="65" t="s">
        <v>49</v>
      </c>
      <c r="F31" s="65" t="s">
        <v>58</v>
      </c>
      <c r="L31" s="78"/>
    </row>
    <row r="32" spans="2:37" ht="14.45" x14ac:dyDescent="0.3">
      <c r="B32" s="71" t="s">
        <v>59</v>
      </c>
      <c r="C32" s="55"/>
      <c r="D32" s="55"/>
      <c r="E32" s="55">
        <f>C32-D32</f>
        <v>0</v>
      </c>
      <c r="F32" s="76">
        <f>E32</f>
        <v>0</v>
      </c>
      <c r="AC32" s="94" t="s">
        <v>73</v>
      </c>
      <c r="AD32" s="94" t="s">
        <v>10</v>
      </c>
    </row>
    <row r="33" spans="2:37" ht="14.45" x14ac:dyDescent="0.3">
      <c r="B33" s="71" t="s">
        <v>60</v>
      </c>
      <c r="C33" s="55"/>
      <c r="D33" s="55"/>
      <c r="E33" s="55">
        <f t="shared" ref="E33:E43" si="9">C33-D33</f>
        <v>0</v>
      </c>
      <c r="F33" s="76">
        <f>F32+E33</f>
        <v>0</v>
      </c>
      <c r="AC33" s="94">
        <v>16</v>
      </c>
      <c r="AD33" s="95">
        <f ca="1">10^(FORECAST(AC33,LOG(OFFSET(AC$10:AC$27,MATCH(AC33,AJ$10:AJ$27,-1)-1,0,2)),OFFSET(AJ$10:AJ$27,MATCH(AC33,AJ$10:AJ$27,-1)-1,0,2)))</f>
        <v>1.2741327113645844</v>
      </c>
    </row>
    <row r="34" spans="2:37" ht="15" x14ac:dyDescent="0.25">
      <c r="B34" s="71" t="s">
        <v>61</v>
      </c>
      <c r="C34" s="55"/>
      <c r="D34" s="55"/>
      <c r="E34" s="55">
        <f t="shared" si="9"/>
        <v>0</v>
      </c>
      <c r="F34" s="140">
        <f t="shared" ref="F34:F43" si="10">F33+E34</f>
        <v>0</v>
      </c>
      <c r="AC34" s="94">
        <v>50</v>
      </c>
      <c r="AD34" s="95">
        <f ca="1">10^(FORECAST(AC34,LOG(OFFSET(AC$10:AC$27,MATCH(AC34,AJ$10:AJ$27,-1)-1,0,2)),OFFSET(AJ$10:AJ$27,MATCH(AC34,AJ$10:AJ$27,-1)-1,0,2)))</f>
        <v>35.927521194332968</v>
      </c>
    </row>
    <row r="35" spans="2:37" ht="15" x14ac:dyDescent="0.25">
      <c r="B35" s="71" t="s">
        <v>62</v>
      </c>
      <c r="C35" s="79">
        <v>13.6</v>
      </c>
      <c r="D35" s="55">
        <v>1.7</v>
      </c>
      <c r="E35" s="55">
        <f t="shared" si="9"/>
        <v>11.9</v>
      </c>
      <c r="F35" s="140">
        <f t="shared" si="10"/>
        <v>11.9</v>
      </c>
      <c r="AB35"/>
      <c r="AC35" s="94">
        <v>84</v>
      </c>
      <c r="AD35" s="95">
        <f ca="1">10^(FORECAST(AC35,LOG(OFFSET(AC$10:AC$27,MATCH(AC35,AJ$10:AJ$27,-1)-1,0,2)),OFFSET(AJ$10:AJ$27,MATCH(AC35,AJ$10:AJ$27,-1)-1,0,2)))</f>
        <v>83.416547365970033</v>
      </c>
    </row>
    <row r="36" spans="2:37" ht="15" x14ac:dyDescent="0.25">
      <c r="B36" s="80" t="s">
        <v>63</v>
      </c>
      <c r="C36" s="67">
        <v>44.6</v>
      </c>
      <c r="D36" s="55">
        <v>1.7</v>
      </c>
      <c r="E36" s="55">
        <f t="shared" si="9"/>
        <v>42.9</v>
      </c>
      <c r="F36" s="140">
        <f t="shared" si="10"/>
        <v>54.8</v>
      </c>
      <c r="AB36"/>
      <c r="AC36" s="94">
        <v>90</v>
      </c>
      <c r="AD36" s="95">
        <f ca="1">10^(FORECAST(AC36,LOG(OFFSET(AC$10:AC$27,MATCH(AC36,AJ$10:AJ$27,-1)-1,0,2)),OFFSET(AJ$10:AJ$27,MATCH(AC36,AJ$10:AJ$27,-1)-1,0,2)))</f>
        <v>98.763364687334814</v>
      </c>
      <c r="AF36"/>
    </row>
    <row r="37" spans="2:37" ht="15" x14ac:dyDescent="0.25">
      <c r="B37" s="80" t="s">
        <v>64</v>
      </c>
      <c r="C37" s="67">
        <v>68</v>
      </c>
      <c r="D37" s="55">
        <v>1.7</v>
      </c>
      <c r="E37" s="55">
        <f t="shared" si="9"/>
        <v>66.3</v>
      </c>
      <c r="F37" s="140">
        <f t="shared" si="10"/>
        <v>121.1</v>
      </c>
      <c r="AB37"/>
      <c r="AC37" s="96"/>
      <c r="AD37" s="96"/>
      <c r="AE37"/>
      <c r="AF37"/>
    </row>
    <row r="38" spans="2:37" ht="15" x14ac:dyDescent="0.25">
      <c r="B38" s="67">
        <v>45</v>
      </c>
      <c r="C38" s="67">
        <v>64.2</v>
      </c>
      <c r="D38" s="55">
        <v>1.7</v>
      </c>
      <c r="E38" s="55">
        <f t="shared" si="9"/>
        <v>62.5</v>
      </c>
      <c r="F38" s="140">
        <f t="shared" si="10"/>
        <v>183.6</v>
      </c>
      <c r="AB38"/>
      <c r="AC38" s="94" t="s">
        <v>74</v>
      </c>
      <c r="AD38" s="95">
        <f ca="1">0.5*(AD35/AD34+AD34/AD33)</f>
        <v>15.259714782074354</v>
      </c>
      <c r="AE38"/>
      <c r="AF38"/>
    </row>
    <row r="39" spans="2:37" ht="15" x14ac:dyDescent="0.25">
      <c r="B39" s="67">
        <v>32</v>
      </c>
      <c r="C39" s="67">
        <v>52.9</v>
      </c>
      <c r="D39" s="55">
        <v>1.7</v>
      </c>
      <c r="E39" s="55">
        <f t="shared" si="9"/>
        <v>51.199999999999996</v>
      </c>
      <c r="F39" s="140">
        <f t="shared" si="10"/>
        <v>234.79999999999998</v>
      </c>
      <c r="AB39"/>
      <c r="AC39" s="96" t="s">
        <v>75</v>
      </c>
      <c r="AD39" s="95">
        <f>100-AJ22</f>
        <v>82.168568029252569</v>
      </c>
      <c r="AE39"/>
      <c r="AF39"/>
    </row>
    <row r="40" spans="2:37" ht="15" x14ac:dyDescent="0.25">
      <c r="B40" s="67">
        <v>22.5</v>
      </c>
      <c r="C40" s="67">
        <v>39.799999999999997</v>
      </c>
      <c r="D40" s="55">
        <v>1.7</v>
      </c>
      <c r="E40" s="55">
        <f t="shared" si="9"/>
        <v>38.099999999999994</v>
      </c>
      <c r="F40" s="140">
        <f t="shared" si="10"/>
        <v>272.89999999999998</v>
      </c>
      <c r="AB40"/>
      <c r="AC40" s="96" t="s">
        <v>76</v>
      </c>
      <c r="AD40" s="95">
        <f>AJ22-AJ27</f>
        <v>16.705236267331806</v>
      </c>
      <c r="AE40"/>
      <c r="AF40"/>
    </row>
    <row r="41" spans="2:37" ht="15" x14ac:dyDescent="0.25">
      <c r="B41" s="67">
        <v>16</v>
      </c>
      <c r="C41" s="67">
        <v>27.6</v>
      </c>
      <c r="D41" s="55">
        <v>1.7</v>
      </c>
      <c r="E41" s="55">
        <f t="shared" si="9"/>
        <v>25.900000000000002</v>
      </c>
      <c r="F41" s="140">
        <f t="shared" si="10"/>
        <v>298.79999999999995</v>
      </c>
      <c r="AB41"/>
      <c r="AC41" s="94" t="s">
        <v>77</v>
      </c>
      <c r="AD41" s="95">
        <f>AJ27</f>
        <v>1.1261957034156276</v>
      </c>
      <c r="AE41"/>
      <c r="AF41"/>
    </row>
    <row r="42" spans="2:37" ht="15" x14ac:dyDescent="0.25">
      <c r="B42" s="67">
        <v>8</v>
      </c>
      <c r="C42" s="67"/>
      <c r="D42" s="55"/>
      <c r="E42" s="55">
        <f t="shared" si="9"/>
        <v>0</v>
      </c>
      <c r="F42" s="140">
        <f t="shared" si="10"/>
        <v>298.79999999999995</v>
      </c>
      <c r="AB42"/>
      <c r="AC42"/>
      <c r="AD42"/>
      <c r="AE42"/>
      <c r="AF42"/>
    </row>
    <row r="43" spans="2:37" ht="15.75" thickBot="1" x14ac:dyDescent="0.3">
      <c r="B43" s="146" t="s">
        <v>104</v>
      </c>
      <c r="C43" s="147">
        <v>219</v>
      </c>
      <c r="D43" s="147">
        <v>67.400000000000006</v>
      </c>
      <c r="E43" s="150">
        <f t="shared" si="9"/>
        <v>151.6</v>
      </c>
      <c r="F43" s="151">
        <f t="shared" si="10"/>
        <v>450.4</v>
      </c>
      <c r="G43" s="8"/>
      <c r="AB43"/>
      <c r="AC43"/>
      <c r="AD43"/>
      <c r="AE43"/>
      <c r="AF43"/>
      <c r="AG43"/>
      <c r="AH43"/>
    </row>
    <row r="44" spans="2:37" ht="16.5" thickTop="1" thickBot="1" x14ac:dyDescent="0.3">
      <c r="B44" s="144" t="s">
        <v>51</v>
      </c>
      <c r="C44" s="145">
        <f>SUM(C32:C43)</f>
        <v>529.70000000000005</v>
      </c>
      <c r="D44" s="145">
        <f t="shared" ref="D44" si="11">SUM(D32:D43)</f>
        <v>79.300000000000011</v>
      </c>
      <c r="E44" s="145">
        <f>C44-D44</f>
        <v>450.40000000000003</v>
      </c>
      <c r="F44" s="148"/>
      <c r="G44" s="8"/>
      <c r="AB44"/>
      <c r="AE44"/>
      <c r="AF44"/>
      <c r="AG44"/>
      <c r="AH44"/>
    </row>
    <row r="45" spans="2:37" ht="30.75" thickTop="1" thickBot="1" x14ac:dyDescent="0.3">
      <c r="B45" s="143" t="s">
        <v>105</v>
      </c>
      <c r="C45" s="142">
        <v>20.9</v>
      </c>
      <c r="D45" s="149">
        <v>2.2000000000000002</v>
      </c>
      <c r="E45" s="152">
        <f>C45-D45</f>
        <v>18.7</v>
      </c>
      <c r="F45" s="8"/>
      <c r="Y45"/>
      <c r="Z45"/>
      <c r="AA45"/>
      <c r="AB45"/>
      <c r="AE45"/>
      <c r="AF45"/>
      <c r="AG45"/>
    </row>
    <row r="46" spans="2:37" ht="15.75" thickTop="1" x14ac:dyDescent="0.25">
      <c r="B46" s="81" t="s">
        <v>65</v>
      </c>
      <c r="J46" s="8"/>
      <c r="AC46"/>
      <c r="AD46"/>
      <c r="AE46"/>
      <c r="AF46"/>
      <c r="AG46"/>
      <c r="AH46"/>
      <c r="AI46"/>
      <c r="AJ46"/>
      <c r="AK46"/>
    </row>
    <row r="47" spans="2:37" ht="15" x14ac:dyDescent="0.25">
      <c r="B47" s="81"/>
      <c r="J47" s="8"/>
      <c r="AC47"/>
      <c r="AD47"/>
      <c r="AE47"/>
      <c r="AF47"/>
      <c r="AG47"/>
      <c r="AH47"/>
      <c r="AI47"/>
      <c r="AJ47"/>
      <c r="AK47"/>
    </row>
    <row r="48" spans="2:37" ht="15.75" x14ac:dyDescent="0.25">
      <c r="B48" s="154" t="s">
        <v>66</v>
      </c>
      <c r="C48" s="154"/>
      <c r="D48" s="154"/>
      <c r="E48" s="82" t="s">
        <v>139</v>
      </c>
      <c r="F48" s="68"/>
      <c r="G48" s="83" t="s">
        <v>67</v>
      </c>
      <c r="H48" s="84">
        <f>(E26-E44)/E26</f>
        <v>4.4208664898318815E-3</v>
      </c>
      <c r="I48" s="82"/>
      <c r="J48" s="8"/>
      <c r="Q48" s="85"/>
      <c r="AC48"/>
      <c r="AD48"/>
      <c r="AE48"/>
      <c r="AF48"/>
      <c r="AG48"/>
      <c r="AH48"/>
      <c r="AI48"/>
      <c r="AJ48"/>
      <c r="AK48"/>
    </row>
    <row r="49" spans="2:37" ht="15" x14ac:dyDescent="0.25">
      <c r="B49" s="155" t="s">
        <v>68</v>
      </c>
      <c r="C49" s="155"/>
      <c r="D49" s="155"/>
      <c r="E49" s="83">
        <v>452.4</v>
      </c>
      <c r="AC49"/>
      <c r="AD49"/>
      <c r="AE49"/>
      <c r="AF49"/>
      <c r="AG49"/>
      <c r="AH49"/>
      <c r="AI49"/>
      <c r="AJ49"/>
      <c r="AK49"/>
    </row>
    <row r="50" spans="2:37" ht="15" x14ac:dyDescent="0.25">
      <c r="B50" s="73"/>
      <c r="C50" s="73"/>
      <c r="D50" s="73"/>
      <c r="AC50"/>
      <c r="AD50"/>
      <c r="AE50"/>
      <c r="AF50"/>
      <c r="AG50"/>
      <c r="AH50"/>
      <c r="AI50"/>
      <c r="AJ50"/>
      <c r="AK50"/>
    </row>
    <row r="51" spans="2:37" ht="15" x14ac:dyDescent="0.25">
      <c r="B51" s="156" t="s">
        <v>69</v>
      </c>
      <c r="C51" s="156"/>
      <c r="D51" s="156"/>
      <c r="E51" s="156"/>
      <c r="F51" s="156"/>
      <c r="G51" s="156"/>
      <c r="H51" s="156"/>
      <c r="I51" s="156"/>
      <c r="J51" s="86"/>
      <c r="AC51"/>
      <c r="AD51"/>
      <c r="AE51"/>
      <c r="AF51"/>
      <c r="AG51"/>
      <c r="AH51"/>
      <c r="AI51"/>
      <c r="AJ51"/>
      <c r="AK51"/>
    </row>
    <row r="52" spans="2:37" ht="15" x14ac:dyDescent="0.25">
      <c r="B52" s="156"/>
      <c r="C52" s="156"/>
      <c r="D52" s="156"/>
      <c r="E52" s="156"/>
      <c r="F52" s="156"/>
      <c r="G52" s="156"/>
      <c r="H52" s="156"/>
      <c r="I52" s="156"/>
      <c r="J52" s="86"/>
      <c r="AC52"/>
      <c r="AD52"/>
      <c r="AE52"/>
      <c r="AF52"/>
      <c r="AG52"/>
      <c r="AH52"/>
      <c r="AI52"/>
      <c r="AJ52"/>
      <c r="AK52"/>
    </row>
    <row r="53" spans="2:37" ht="15" x14ac:dyDescent="0.25">
      <c r="B53" s="6" t="s">
        <v>70</v>
      </c>
      <c r="C53" s="6" t="s">
        <v>124</v>
      </c>
      <c r="E53" s="1" t="s">
        <v>71</v>
      </c>
      <c r="F53" s="6"/>
      <c r="G53" s="87">
        <v>568</v>
      </c>
      <c r="H53" s="41" t="s">
        <v>72</v>
      </c>
      <c r="I53" s="123">
        <v>1</v>
      </c>
      <c r="J53" s="1" t="s">
        <v>107</v>
      </c>
      <c r="K53" s="6">
        <v>1</v>
      </c>
      <c r="AC53"/>
      <c r="AD53"/>
      <c r="AE53"/>
      <c r="AF53"/>
      <c r="AG53"/>
      <c r="AH53"/>
      <c r="AI53"/>
      <c r="AJ53"/>
      <c r="AK53"/>
    </row>
    <row r="54" spans="2:37" ht="15" x14ac:dyDescent="0.25">
      <c r="J54" s="72"/>
      <c r="AC54"/>
      <c r="AD54"/>
      <c r="AE54"/>
      <c r="AF54"/>
      <c r="AG54"/>
      <c r="AH54"/>
      <c r="AI54"/>
      <c r="AJ54"/>
      <c r="AK54"/>
    </row>
    <row r="55" spans="2:37" ht="15" x14ac:dyDescent="0.25">
      <c r="J55" s="72"/>
      <c r="AC55"/>
      <c r="AD55"/>
      <c r="AE55"/>
      <c r="AF55"/>
      <c r="AG55"/>
      <c r="AH55"/>
      <c r="AI55"/>
      <c r="AJ55"/>
      <c r="AK55"/>
    </row>
    <row r="56" spans="2:37" ht="15" x14ac:dyDescent="0.25">
      <c r="J56" s="72"/>
      <c r="AC56"/>
      <c r="AD56"/>
      <c r="AE56"/>
      <c r="AF56"/>
      <c r="AG56"/>
      <c r="AH56"/>
      <c r="AI56"/>
      <c r="AJ56"/>
      <c r="AK56"/>
    </row>
    <row r="57" spans="2:37" ht="15" x14ac:dyDescent="0.25">
      <c r="J57" s="72"/>
      <c r="AC57"/>
      <c r="AD57"/>
      <c r="AE57"/>
      <c r="AF57"/>
      <c r="AG57"/>
      <c r="AH57"/>
      <c r="AI57"/>
      <c r="AJ57"/>
      <c r="AK57"/>
    </row>
    <row r="58" spans="2:37" ht="15" x14ac:dyDescent="0.25">
      <c r="B58" s="8"/>
      <c r="C58" s="8"/>
      <c r="AC58"/>
      <c r="AD58"/>
      <c r="AE58"/>
      <c r="AF58"/>
      <c r="AG58"/>
      <c r="AH58"/>
      <c r="AI58"/>
      <c r="AJ58"/>
      <c r="AK58"/>
    </row>
  </sheetData>
  <mergeCells count="8">
    <mergeCell ref="B48:D48"/>
    <mergeCell ref="B49:D49"/>
    <mergeCell ref="B51:I52"/>
    <mergeCell ref="AC1:AJ1"/>
    <mergeCell ref="B3:J3"/>
    <mergeCell ref="AD7:AG7"/>
    <mergeCell ref="B12:E12"/>
    <mergeCell ref="B28:F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opLeftCell="A11" zoomScale="90" zoomScaleNormal="90" workbookViewId="0">
      <selection activeCell="Y46" sqref="Y46"/>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7" t="s">
        <v>141</v>
      </c>
      <c r="C2" s="157"/>
      <c r="D2" s="157"/>
      <c r="E2" s="157"/>
      <c r="F2" s="157"/>
      <c r="G2" s="157"/>
      <c r="H2" s="157"/>
      <c r="I2" s="157"/>
      <c r="J2" s="157"/>
      <c r="K2" s="157"/>
      <c r="L2" s="157"/>
      <c r="M2" s="157"/>
      <c r="N2" s="157"/>
      <c r="O2" s="157"/>
      <c r="P2" s="157"/>
      <c r="Q2" s="157"/>
      <c r="R2" s="157"/>
      <c r="S2" s="157"/>
      <c r="T2" s="157"/>
      <c r="U2" s="157"/>
      <c r="V2" s="157"/>
      <c r="Y2" s="157" t="s">
        <v>141</v>
      </c>
      <c r="Z2" s="157"/>
      <c r="AA2" s="157"/>
      <c r="AB2" s="157"/>
      <c r="AC2" s="157"/>
      <c r="AD2" s="157"/>
      <c r="AE2" s="157"/>
      <c r="AF2" s="157"/>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187" t="s">
        <v>0</v>
      </c>
      <c r="C4" s="187"/>
      <c r="D4" s="6" t="s">
        <v>122</v>
      </c>
      <c r="E4" s="6"/>
      <c r="F4" s="6"/>
      <c r="G4" s="6"/>
      <c r="J4" s="1"/>
      <c r="K4" s="6" t="s">
        <v>1</v>
      </c>
      <c r="L4" s="6" t="s">
        <v>128</v>
      </c>
      <c r="M4" s="6"/>
      <c r="N4" s="6"/>
      <c r="O4" s="6"/>
      <c r="P4" s="6"/>
      <c r="Q4" s="6"/>
      <c r="R4" s="6"/>
      <c r="S4" s="6"/>
      <c r="T4" s="6"/>
      <c r="Y4" s="8" t="s">
        <v>0</v>
      </c>
      <c r="Z4" s="6" t="str">
        <f>D4</f>
        <v>Susitna</v>
      </c>
      <c r="AA4" s="6"/>
      <c r="AB4" s="1"/>
    </row>
    <row r="5" spans="2:33" ht="13.9" x14ac:dyDescent="0.25">
      <c r="B5" s="184" t="s">
        <v>4</v>
      </c>
      <c r="C5" s="184"/>
      <c r="D5" s="9">
        <v>167</v>
      </c>
      <c r="E5" s="9"/>
      <c r="F5" s="9"/>
      <c r="G5" s="9"/>
      <c r="J5" s="1"/>
      <c r="K5" s="184" t="s">
        <v>6</v>
      </c>
      <c r="L5" s="184"/>
      <c r="M5" s="9" t="s">
        <v>129</v>
      </c>
      <c r="N5" s="9"/>
      <c r="O5" s="9"/>
      <c r="P5" s="9"/>
      <c r="Q5" s="9"/>
      <c r="R5" s="9"/>
      <c r="S5" s="9"/>
      <c r="T5" s="9"/>
      <c r="Y5" s="8" t="s">
        <v>3</v>
      </c>
      <c r="Z5" s="9">
        <f>D5</f>
        <v>167</v>
      </c>
      <c r="AA5" s="9"/>
      <c r="AB5" s="1"/>
    </row>
    <row r="6" spans="2:33" ht="13.9" x14ac:dyDescent="0.25">
      <c r="B6" s="184" t="s">
        <v>5</v>
      </c>
      <c r="C6" s="184"/>
      <c r="D6" s="10" t="s">
        <v>123</v>
      </c>
      <c r="E6" s="11"/>
      <c r="F6" s="9"/>
      <c r="G6" s="9"/>
      <c r="J6" s="1"/>
      <c r="K6" s="8" t="s">
        <v>117</v>
      </c>
      <c r="M6" s="141">
        <v>3219750.4</v>
      </c>
      <c r="N6" s="9"/>
      <c r="O6" s="9"/>
      <c r="P6" s="9"/>
      <c r="Q6" s="9"/>
      <c r="R6" s="9"/>
      <c r="S6" s="9"/>
      <c r="T6" s="9"/>
      <c r="U6" s="9"/>
      <c r="V6" s="9"/>
      <c r="Y6" s="8" t="s">
        <v>5</v>
      </c>
      <c r="Z6" s="10" t="str">
        <f>D6</f>
        <v>7/9/14 1544</v>
      </c>
      <c r="AA6" s="11"/>
    </row>
    <row r="7" spans="2:33" ht="13.9" x14ac:dyDescent="0.25">
      <c r="B7" s="184" t="s">
        <v>109</v>
      </c>
      <c r="C7" s="184"/>
      <c r="D7" s="9" t="s">
        <v>124</v>
      </c>
      <c r="E7" s="9"/>
      <c r="F7" s="9"/>
      <c r="G7" s="9"/>
      <c r="J7" s="13"/>
      <c r="K7" s="14" t="s">
        <v>118</v>
      </c>
      <c r="L7" s="14"/>
      <c r="M7" s="15">
        <v>1807437.7</v>
      </c>
      <c r="N7" s="16"/>
      <c r="O7" s="16"/>
      <c r="P7" s="16"/>
      <c r="Q7" s="9"/>
      <c r="R7" s="9"/>
      <c r="S7" s="9"/>
      <c r="T7" s="9"/>
      <c r="U7" s="9"/>
      <c r="V7" s="9"/>
      <c r="Y7" s="8"/>
      <c r="Z7" s="8"/>
      <c r="AA7" s="8"/>
      <c r="AE7" s="17"/>
    </row>
    <row r="8" spans="2:33" ht="13.9" x14ac:dyDescent="0.25">
      <c r="B8" s="15" t="s">
        <v>99</v>
      </c>
      <c r="C8" s="15"/>
      <c r="D8" s="9" t="s">
        <v>125</v>
      </c>
      <c r="E8" s="9"/>
      <c r="F8" s="9"/>
      <c r="G8" s="9"/>
      <c r="J8" s="13"/>
      <c r="K8" s="14" t="s">
        <v>8</v>
      </c>
      <c r="L8" s="14"/>
      <c r="M8" s="15" t="s">
        <v>130</v>
      </c>
      <c r="N8" s="16"/>
      <c r="O8" s="16"/>
      <c r="P8" s="16"/>
      <c r="Q8" s="9"/>
      <c r="R8" s="9"/>
      <c r="S8" s="9"/>
      <c r="T8" s="9"/>
      <c r="U8" s="9"/>
      <c r="V8" s="9"/>
      <c r="Y8" s="8"/>
      <c r="Z8" s="8"/>
      <c r="AA8" s="8"/>
      <c r="AE8" s="17"/>
    </row>
    <row r="9" spans="2:33" ht="13.9" x14ac:dyDescent="0.25">
      <c r="B9" s="138" t="s">
        <v>115</v>
      </c>
      <c r="C9" s="138"/>
      <c r="D9" s="9"/>
      <c r="E9" s="9"/>
      <c r="F9" s="9"/>
      <c r="G9" s="9" t="s">
        <v>126</v>
      </c>
      <c r="K9" s="9"/>
      <c r="L9" s="9"/>
      <c r="M9" s="9"/>
      <c r="N9" s="9"/>
      <c r="O9" s="9"/>
      <c r="P9" s="9"/>
      <c r="Q9" s="9"/>
      <c r="R9" s="9"/>
      <c r="S9" s="9"/>
      <c r="T9" s="9"/>
      <c r="U9" s="9"/>
      <c r="V9" s="9"/>
      <c r="Y9" s="8" t="s">
        <v>9</v>
      </c>
      <c r="Z9" s="8"/>
      <c r="AA9" s="8"/>
      <c r="AB9" s="18"/>
      <c r="AC9" s="17"/>
      <c r="AD9" s="17"/>
      <c r="AE9" s="17"/>
    </row>
    <row r="10" spans="2:33" ht="13.9" x14ac:dyDescent="0.25">
      <c r="B10" s="6" t="s">
        <v>116</v>
      </c>
      <c r="C10" s="6"/>
      <c r="D10" s="9" t="s">
        <v>127</v>
      </c>
      <c r="E10" s="9"/>
      <c r="F10" s="9"/>
      <c r="G10" s="9"/>
      <c r="H10" s="2"/>
      <c r="I10" s="1"/>
      <c r="J10" s="1"/>
      <c r="K10" s="9"/>
      <c r="L10" s="9"/>
      <c r="M10" s="9"/>
      <c r="N10" s="9"/>
      <c r="O10" s="9"/>
      <c r="P10" s="9"/>
      <c r="Q10" s="9"/>
      <c r="R10" s="9"/>
      <c r="S10" s="9"/>
      <c r="T10" s="9"/>
      <c r="U10" s="9"/>
      <c r="V10" s="9"/>
      <c r="Y10" s="6" t="s">
        <v>119</v>
      </c>
      <c r="Z10" s="6"/>
      <c r="AA10" s="6"/>
      <c r="AB10" s="19"/>
      <c r="AC10" s="20"/>
      <c r="AD10" s="20"/>
      <c r="AE10" s="20"/>
      <c r="AF10" s="6"/>
    </row>
    <row r="11" spans="2:33" s="8" customFormat="1" ht="15.6" x14ac:dyDescent="0.3">
      <c r="B11" s="21"/>
      <c r="C11" s="185"/>
      <c r="D11" s="185"/>
      <c r="E11" s="185"/>
      <c r="F11" s="185"/>
      <c r="G11" s="185"/>
      <c r="H11" s="185"/>
      <c r="I11" s="22"/>
      <c r="J11" s="22"/>
      <c r="K11" s="22"/>
      <c r="L11" s="22"/>
      <c r="N11" s="21"/>
      <c r="Y11" s="9"/>
      <c r="Z11" s="9"/>
      <c r="AA11" s="9"/>
      <c r="AB11" s="14"/>
      <c r="AC11" s="16"/>
      <c r="AD11" s="16"/>
      <c r="AE11" s="16"/>
      <c r="AF11" s="9"/>
      <c r="AG11" s="1"/>
    </row>
    <row r="12" spans="2:33" s="8" customFormat="1" ht="31.9" thickBot="1" x14ac:dyDescent="0.3">
      <c r="B12" s="23" t="s">
        <v>10</v>
      </c>
      <c r="C12" s="186" t="s">
        <v>11</v>
      </c>
      <c r="D12" s="186"/>
      <c r="E12" s="186"/>
      <c r="F12" s="186"/>
      <c r="G12" s="24" t="s">
        <v>12</v>
      </c>
      <c r="H12" s="24" t="s">
        <v>13</v>
      </c>
      <c r="I12" s="23" t="s">
        <v>10</v>
      </c>
      <c r="J12" s="186" t="s">
        <v>14</v>
      </c>
      <c r="K12" s="186"/>
      <c r="L12" s="186"/>
      <c r="M12" s="186"/>
      <c r="N12" s="24" t="s">
        <v>12</v>
      </c>
      <c r="O12" s="24" t="s">
        <v>13</v>
      </c>
      <c r="P12" s="23" t="s">
        <v>10</v>
      </c>
      <c r="Q12" s="186" t="s">
        <v>15</v>
      </c>
      <c r="R12" s="186"/>
      <c r="S12" s="186"/>
      <c r="T12" s="186"/>
      <c r="U12" s="24" t="s">
        <v>12</v>
      </c>
      <c r="V12" s="24" t="s">
        <v>13</v>
      </c>
      <c r="W12" s="105" t="s">
        <v>16</v>
      </c>
      <c r="X12" s="121"/>
      <c r="Y12" s="9"/>
      <c r="Z12" s="9"/>
      <c r="AA12" s="9"/>
      <c r="AB12" s="14"/>
      <c r="AC12" s="16"/>
      <c r="AD12" s="16"/>
      <c r="AE12" s="16"/>
      <c r="AF12" s="9"/>
      <c r="AG12" s="1"/>
    </row>
    <row r="13" spans="2:33" s="27" customFormat="1" ht="13.9" x14ac:dyDescent="0.25">
      <c r="B13" s="106" t="s">
        <v>17</v>
      </c>
      <c r="C13" s="188">
        <v>9</v>
      </c>
      <c r="D13" s="188"/>
      <c r="E13" s="188"/>
      <c r="F13" s="188"/>
      <c r="G13" s="25">
        <v>9</v>
      </c>
      <c r="H13" s="107">
        <f>+G13</f>
        <v>9</v>
      </c>
      <c r="I13" s="108" t="s">
        <v>17</v>
      </c>
      <c r="J13" s="188">
        <v>13</v>
      </c>
      <c r="K13" s="188"/>
      <c r="L13" s="188"/>
      <c r="M13" s="188"/>
      <c r="N13" s="25">
        <v>13</v>
      </c>
      <c r="O13" s="107">
        <f>+N13</f>
        <v>13</v>
      </c>
      <c r="P13" s="108" t="s">
        <v>17</v>
      </c>
      <c r="Q13" s="188"/>
      <c r="R13" s="188"/>
      <c r="S13" s="188"/>
      <c r="T13" s="188"/>
      <c r="U13" s="25">
        <f>Q13</f>
        <v>0</v>
      </c>
      <c r="V13" s="107">
        <f>+U13</f>
        <v>0</v>
      </c>
      <c r="W13" s="109">
        <f>AVERAGE(V13,O13,H13)</f>
        <v>7.333333333333333</v>
      </c>
      <c r="X13" s="33"/>
      <c r="Y13" s="9"/>
      <c r="Z13" s="9"/>
      <c r="AA13" s="9"/>
      <c r="AB13" s="14"/>
      <c r="AC13" s="16"/>
      <c r="AD13" s="16"/>
      <c r="AE13" s="16"/>
      <c r="AF13" s="9"/>
      <c r="AG13" s="1"/>
    </row>
    <row r="14" spans="2:33" s="27" customFormat="1" ht="13.9" x14ac:dyDescent="0.25">
      <c r="B14" s="110">
        <v>2</v>
      </c>
      <c r="C14" s="180"/>
      <c r="D14" s="180"/>
      <c r="E14" s="180"/>
      <c r="F14" s="180"/>
      <c r="G14" s="28">
        <f>C14</f>
        <v>0</v>
      </c>
      <c r="H14" s="111">
        <v>0</v>
      </c>
      <c r="I14" s="112">
        <v>2</v>
      </c>
      <c r="J14" s="180"/>
      <c r="K14" s="180"/>
      <c r="L14" s="180"/>
      <c r="M14" s="180"/>
      <c r="N14" s="28">
        <v>0</v>
      </c>
      <c r="O14" s="111">
        <v>0</v>
      </c>
      <c r="P14" s="112">
        <v>2</v>
      </c>
      <c r="Q14" s="180"/>
      <c r="R14" s="180"/>
      <c r="S14" s="180"/>
      <c r="T14" s="180"/>
      <c r="U14" s="28">
        <f>Q14</f>
        <v>0</v>
      </c>
      <c r="V14" s="111">
        <v>0</v>
      </c>
      <c r="W14" s="113">
        <f>AVERAGE(V14,O14,H14)</f>
        <v>0</v>
      </c>
      <c r="X14" s="33"/>
      <c r="Y14" s="9"/>
      <c r="Z14" s="9"/>
      <c r="AA14" s="9"/>
      <c r="AB14" s="14"/>
      <c r="AC14" s="16"/>
      <c r="AD14" s="16"/>
      <c r="AE14" s="16"/>
      <c r="AF14" s="9"/>
      <c r="AG14" s="1"/>
    </row>
    <row r="15" spans="2:33" s="27" customFormat="1" x14ac:dyDescent="0.2">
      <c r="B15" s="114">
        <v>2.8</v>
      </c>
      <c r="C15" s="180"/>
      <c r="D15" s="180"/>
      <c r="E15" s="180"/>
      <c r="F15" s="180"/>
      <c r="G15" s="28">
        <f>C15+G14</f>
        <v>0</v>
      </c>
      <c r="H15" s="111">
        <f>100*G14/SUM(G$14:G$30)+H14</f>
        <v>0</v>
      </c>
      <c r="I15" s="115">
        <v>2.8</v>
      </c>
      <c r="J15" s="180"/>
      <c r="K15" s="180"/>
      <c r="L15" s="180"/>
      <c r="M15" s="180"/>
      <c r="N15" s="28">
        <v>0</v>
      </c>
      <c r="O15" s="190">
        <f>100*N14/SUM(N$14:N$30)+O14</f>
        <v>0</v>
      </c>
      <c r="P15" s="115">
        <v>2.8</v>
      </c>
      <c r="Q15" s="180"/>
      <c r="R15" s="180"/>
      <c r="S15" s="180"/>
      <c r="T15" s="180"/>
      <c r="U15" s="28">
        <f>Q15+U14</f>
        <v>0</v>
      </c>
      <c r="V15" s="111">
        <f>100*U14/SUM(U$14:U$30)+V14</f>
        <v>0</v>
      </c>
      <c r="W15" s="113">
        <f t="shared" ref="W15:W26" si="0">AVERAGE(V15,O15,H15)</f>
        <v>0</v>
      </c>
      <c r="X15" s="33"/>
      <c r="Y15" s="9"/>
      <c r="Z15" s="9"/>
      <c r="AA15" s="9"/>
      <c r="AB15" s="14"/>
      <c r="AC15" s="16"/>
      <c r="AD15" s="16"/>
      <c r="AE15" s="16"/>
      <c r="AF15" s="9"/>
      <c r="AG15" s="1"/>
    </row>
    <row r="16" spans="2:33" s="27" customFormat="1" x14ac:dyDescent="0.2">
      <c r="B16" s="110">
        <v>4</v>
      </c>
      <c r="C16" s="180"/>
      <c r="D16" s="180"/>
      <c r="E16" s="180"/>
      <c r="F16" s="180"/>
      <c r="G16" s="28">
        <f t="shared" ref="G16:G30" si="1">C16+G15</f>
        <v>0</v>
      </c>
      <c r="H16" s="111">
        <f t="shared" ref="H16:H30" si="2">100*G15/SUM(G$14:G$30)+H15</f>
        <v>0</v>
      </c>
      <c r="I16" s="112">
        <v>4</v>
      </c>
      <c r="J16" s="180"/>
      <c r="K16" s="180"/>
      <c r="L16" s="180"/>
      <c r="M16" s="180"/>
      <c r="N16" s="28">
        <v>0</v>
      </c>
      <c r="O16" s="190">
        <f t="shared" ref="O16:O30" si="3">100*N15/SUM(N$14:N$30)+O15</f>
        <v>0</v>
      </c>
      <c r="P16" s="112">
        <v>4</v>
      </c>
      <c r="Q16" s="180"/>
      <c r="R16" s="180"/>
      <c r="S16" s="180"/>
      <c r="T16" s="180"/>
      <c r="U16" s="28">
        <f t="shared" ref="U16:U30" si="4">Q16+U15</f>
        <v>0</v>
      </c>
      <c r="V16" s="190">
        <f t="shared" ref="V16:V30" si="5">100*U15/SUM(U$14:U$30)+V15</f>
        <v>0</v>
      </c>
      <c r="W16" s="113">
        <f t="shared" si="0"/>
        <v>0</v>
      </c>
      <c r="X16" s="33"/>
      <c r="Y16" s="9"/>
      <c r="Z16" s="9"/>
      <c r="AA16" s="9"/>
      <c r="AB16" s="14"/>
      <c r="AC16" s="9"/>
      <c r="AD16" s="9"/>
      <c r="AE16" s="9"/>
      <c r="AF16" s="9"/>
      <c r="AG16" s="1"/>
    </row>
    <row r="17" spans="2:33" s="27" customFormat="1" ht="18" x14ac:dyDescent="0.25">
      <c r="B17" s="110">
        <v>5.6</v>
      </c>
      <c r="C17" s="180"/>
      <c r="D17" s="180"/>
      <c r="E17" s="180"/>
      <c r="F17" s="180"/>
      <c r="G17" s="28">
        <f t="shared" si="1"/>
        <v>0</v>
      </c>
      <c r="H17" s="111">
        <f t="shared" si="2"/>
        <v>0</v>
      </c>
      <c r="I17" s="112">
        <v>5.6</v>
      </c>
      <c r="J17" s="180"/>
      <c r="K17" s="180"/>
      <c r="L17" s="180"/>
      <c r="M17" s="180"/>
      <c r="N17" s="28">
        <v>0</v>
      </c>
      <c r="O17" s="190">
        <f t="shared" si="3"/>
        <v>0</v>
      </c>
      <c r="P17" s="112">
        <v>5.6</v>
      </c>
      <c r="Q17" s="180"/>
      <c r="R17" s="180"/>
      <c r="S17" s="180"/>
      <c r="T17" s="180"/>
      <c r="U17" s="28">
        <f t="shared" si="4"/>
        <v>0</v>
      </c>
      <c r="V17" s="190">
        <f t="shared" si="5"/>
        <v>0</v>
      </c>
      <c r="W17" s="113">
        <f t="shared" si="0"/>
        <v>0</v>
      </c>
      <c r="X17" s="33"/>
      <c r="Y17" s="29" t="s">
        <v>18</v>
      </c>
      <c r="Z17" s="30"/>
      <c r="AA17" s="30"/>
      <c r="AB17" s="31"/>
      <c r="AC17" s="32"/>
      <c r="AD17" s="32"/>
      <c r="AE17" s="32"/>
      <c r="AF17" s="32"/>
      <c r="AG17" s="1"/>
    </row>
    <row r="18" spans="2:33" s="27" customFormat="1" x14ac:dyDescent="0.2">
      <c r="B18" s="110">
        <v>8</v>
      </c>
      <c r="C18" s="180"/>
      <c r="D18" s="180"/>
      <c r="E18" s="180"/>
      <c r="F18" s="180"/>
      <c r="G18" s="28">
        <v>1</v>
      </c>
      <c r="H18" s="111">
        <f t="shared" si="2"/>
        <v>0</v>
      </c>
      <c r="I18" s="112">
        <v>8</v>
      </c>
      <c r="J18" s="180"/>
      <c r="K18" s="180"/>
      <c r="L18" s="180"/>
      <c r="M18" s="180"/>
      <c r="N18" s="28">
        <v>1</v>
      </c>
      <c r="O18" s="190">
        <f t="shared" si="3"/>
        <v>0</v>
      </c>
      <c r="P18" s="112">
        <v>8</v>
      </c>
      <c r="Q18" s="180"/>
      <c r="R18" s="180"/>
      <c r="S18" s="180"/>
      <c r="T18" s="180"/>
      <c r="U18" s="28">
        <f t="shared" si="4"/>
        <v>0</v>
      </c>
      <c r="V18" s="190">
        <f t="shared" si="5"/>
        <v>0</v>
      </c>
      <c r="W18" s="113">
        <f t="shared" si="0"/>
        <v>0</v>
      </c>
      <c r="X18" s="33"/>
      <c r="Y18" s="32" t="s">
        <v>19</v>
      </c>
      <c r="Z18" s="182" t="s">
        <v>20</v>
      </c>
      <c r="AA18" s="182"/>
      <c r="AB18" s="182"/>
      <c r="AC18" s="182"/>
      <c r="AD18" s="182"/>
      <c r="AE18" s="182"/>
      <c r="AF18" s="182"/>
      <c r="AG18" s="8"/>
    </row>
    <row r="19" spans="2:33" s="27" customFormat="1" x14ac:dyDescent="0.2">
      <c r="B19" s="110">
        <v>11</v>
      </c>
      <c r="C19" s="180"/>
      <c r="D19" s="180"/>
      <c r="E19" s="180"/>
      <c r="F19" s="180"/>
      <c r="G19" s="28">
        <v>1</v>
      </c>
      <c r="H19" s="111">
        <f t="shared" si="2"/>
        <v>1</v>
      </c>
      <c r="I19" s="112">
        <v>11</v>
      </c>
      <c r="J19" s="180"/>
      <c r="K19" s="180"/>
      <c r="L19" s="180"/>
      <c r="M19" s="180"/>
      <c r="N19" s="28">
        <v>3</v>
      </c>
      <c r="O19" s="190">
        <f t="shared" si="3"/>
        <v>0.99009900990099009</v>
      </c>
      <c r="P19" s="112">
        <v>11</v>
      </c>
      <c r="Q19" s="180"/>
      <c r="R19" s="180"/>
      <c r="S19" s="180"/>
      <c r="T19" s="180"/>
      <c r="U19" s="28">
        <f t="shared" si="4"/>
        <v>0</v>
      </c>
      <c r="V19" s="190">
        <f t="shared" si="5"/>
        <v>0</v>
      </c>
      <c r="W19" s="113">
        <f>AVERAGE(V19,O19,H19)</f>
        <v>0.6633663366336634</v>
      </c>
      <c r="X19" s="33"/>
      <c r="Y19" s="153">
        <v>555</v>
      </c>
      <c r="Z19" s="181" t="s">
        <v>131</v>
      </c>
      <c r="AA19" s="181"/>
      <c r="AB19" s="181"/>
      <c r="AC19" s="181"/>
      <c r="AD19" s="181"/>
      <c r="AE19" s="181"/>
      <c r="AF19" s="181"/>
    </row>
    <row r="20" spans="2:33" s="27" customFormat="1" x14ac:dyDescent="0.2">
      <c r="B20" s="110">
        <v>16</v>
      </c>
      <c r="C20" s="180"/>
      <c r="D20" s="180"/>
      <c r="E20" s="180"/>
      <c r="F20" s="180"/>
      <c r="G20" s="28">
        <v>3</v>
      </c>
      <c r="H20" s="111">
        <f t="shared" si="2"/>
        <v>2</v>
      </c>
      <c r="I20" s="112">
        <v>16</v>
      </c>
      <c r="J20" s="180"/>
      <c r="K20" s="180"/>
      <c r="L20" s="180"/>
      <c r="M20" s="180"/>
      <c r="N20" s="28">
        <v>4</v>
      </c>
      <c r="O20" s="190">
        <f t="shared" si="3"/>
        <v>3.9603960396039604</v>
      </c>
      <c r="P20" s="112">
        <v>16</v>
      </c>
      <c r="Q20" s="180"/>
      <c r="R20" s="180"/>
      <c r="S20" s="180"/>
      <c r="T20" s="180"/>
      <c r="U20" s="28">
        <v>1</v>
      </c>
      <c r="V20" s="190">
        <f t="shared" si="5"/>
        <v>0</v>
      </c>
      <c r="W20" s="113">
        <f t="shared" si="0"/>
        <v>1.9867986798679869</v>
      </c>
      <c r="X20" s="33"/>
      <c r="Y20" s="153">
        <v>557</v>
      </c>
      <c r="Z20" s="181" t="s">
        <v>132</v>
      </c>
      <c r="AA20" s="181"/>
      <c r="AB20" s="181"/>
      <c r="AC20" s="181"/>
      <c r="AD20" s="181"/>
      <c r="AE20" s="181"/>
      <c r="AF20" s="181"/>
    </row>
    <row r="21" spans="2:33" s="27" customFormat="1" x14ac:dyDescent="0.2">
      <c r="B21" s="110">
        <v>22.5</v>
      </c>
      <c r="C21" s="180"/>
      <c r="D21" s="180"/>
      <c r="E21" s="180"/>
      <c r="F21" s="180"/>
      <c r="G21" s="28">
        <v>16</v>
      </c>
      <c r="H21" s="111">
        <f t="shared" si="2"/>
        <v>5</v>
      </c>
      <c r="I21" s="112">
        <v>22.5</v>
      </c>
      <c r="J21" s="180"/>
      <c r="K21" s="180"/>
      <c r="L21" s="180"/>
      <c r="M21" s="180"/>
      <c r="N21" s="28">
        <v>10</v>
      </c>
      <c r="O21" s="190">
        <f t="shared" si="3"/>
        <v>7.9207920792079207</v>
      </c>
      <c r="P21" s="112">
        <v>22.5</v>
      </c>
      <c r="Q21" s="180"/>
      <c r="R21" s="180"/>
      <c r="S21" s="180"/>
      <c r="T21" s="180"/>
      <c r="U21" s="28">
        <v>6</v>
      </c>
      <c r="V21" s="190">
        <f t="shared" si="5"/>
        <v>0.98039215686274506</v>
      </c>
      <c r="W21" s="113">
        <f t="shared" si="0"/>
        <v>4.633728078690222</v>
      </c>
      <c r="X21" s="33"/>
      <c r="Y21" s="26">
        <v>558</v>
      </c>
      <c r="Z21" s="181" t="s">
        <v>133</v>
      </c>
      <c r="AA21" s="181"/>
      <c r="AB21" s="181"/>
      <c r="AC21" s="181"/>
      <c r="AD21" s="181"/>
      <c r="AE21" s="181"/>
      <c r="AF21" s="181"/>
    </row>
    <row r="22" spans="2:33" s="27" customFormat="1" x14ac:dyDescent="0.2">
      <c r="B22" s="110">
        <v>32</v>
      </c>
      <c r="C22" s="180"/>
      <c r="D22" s="180"/>
      <c r="E22" s="180"/>
      <c r="F22" s="180"/>
      <c r="G22" s="28">
        <v>15</v>
      </c>
      <c r="H22" s="111">
        <f t="shared" si="2"/>
        <v>21</v>
      </c>
      <c r="I22" s="112">
        <v>32</v>
      </c>
      <c r="J22" s="180"/>
      <c r="K22" s="180"/>
      <c r="L22" s="180"/>
      <c r="M22" s="180"/>
      <c r="N22" s="28">
        <v>23</v>
      </c>
      <c r="O22" s="190">
        <f t="shared" si="3"/>
        <v>17.821782178217823</v>
      </c>
      <c r="P22" s="112">
        <v>32</v>
      </c>
      <c r="Q22" s="180"/>
      <c r="R22" s="180"/>
      <c r="S22" s="180"/>
      <c r="T22" s="180"/>
      <c r="U22" s="28">
        <v>14</v>
      </c>
      <c r="V22" s="190">
        <f t="shared" si="5"/>
        <v>6.8627450980392162</v>
      </c>
      <c r="W22" s="113">
        <f t="shared" si="0"/>
        <v>15.228175758752348</v>
      </c>
      <c r="X22" s="33"/>
      <c r="Y22" s="26">
        <v>559</v>
      </c>
      <c r="Z22" s="181" t="s">
        <v>134</v>
      </c>
      <c r="AA22" s="181"/>
      <c r="AB22" s="181"/>
      <c r="AC22" s="181"/>
      <c r="AD22" s="181"/>
      <c r="AE22" s="181"/>
      <c r="AF22" s="181"/>
    </row>
    <row r="23" spans="2:33" s="27" customFormat="1" x14ac:dyDescent="0.2">
      <c r="B23" s="110">
        <v>45</v>
      </c>
      <c r="C23" s="180"/>
      <c r="D23" s="180"/>
      <c r="E23" s="180"/>
      <c r="F23" s="180"/>
      <c r="G23" s="28">
        <v>19</v>
      </c>
      <c r="H23" s="111">
        <f t="shared" si="2"/>
        <v>36</v>
      </c>
      <c r="I23" s="112">
        <v>45</v>
      </c>
      <c r="J23" s="180"/>
      <c r="K23" s="180"/>
      <c r="L23" s="180"/>
      <c r="M23" s="180"/>
      <c r="N23" s="28">
        <v>21</v>
      </c>
      <c r="O23" s="190">
        <f t="shared" si="3"/>
        <v>40.594059405940598</v>
      </c>
      <c r="P23" s="112">
        <v>45</v>
      </c>
      <c r="Q23" s="180"/>
      <c r="R23" s="180"/>
      <c r="S23" s="180"/>
      <c r="T23" s="180"/>
      <c r="U23" s="28">
        <v>27</v>
      </c>
      <c r="V23" s="190">
        <f t="shared" si="5"/>
        <v>20.588235294117645</v>
      </c>
      <c r="W23" s="113">
        <f t="shared" si="0"/>
        <v>32.394098233352743</v>
      </c>
      <c r="X23" s="33"/>
      <c r="Y23" s="26">
        <v>560</v>
      </c>
      <c r="Z23" s="181" t="s">
        <v>135</v>
      </c>
      <c r="AA23" s="181"/>
      <c r="AB23" s="181"/>
      <c r="AC23" s="181"/>
      <c r="AD23" s="181"/>
      <c r="AE23" s="181"/>
      <c r="AF23" s="181"/>
    </row>
    <row r="24" spans="2:33" s="27" customFormat="1" x14ac:dyDescent="0.2">
      <c r="B24" s="116">
        <v>64</v>
      </c>
      <c r="C24" s="180"/>
      <c r="D24" s="180"/>
      <c r="E24" s="180"/>
      <c r="F24" s="180"/>
      <c r="G24" s="28">
        <v>18</v>
      </c>
      <c r="H24" s="111">
        <f t="shared" si="2"/>
        <v>55</v>
      </c>
      <c r="I24" s="117">
        <v>64</v>
      </c>
      <c r="J24" s="180"/>
      <c r="K24" s="180"/>
      <c r="L24" s="180"/>
      <c r="M24" s="180"/>
      <c r="N24" s="28">
        <v>16</v>
      </c>
      <c r="O24" s="190">
        <f t="shared" si="3"/>
        <v>61.386138613861391</v>
      </c>
      <c r="P24" s="117">
        <v>64</v>
      </c>
      <c r="Q24" s="180"/>
      <c r="R24" s="180"/>
      <c r="S24" s="180"/>
      <c r="T24" s="180"/>
      <c r="U24" s="28">
        <v>25</v>
      </c>
      <c r="V24" s="190">
        <f t="shared" si="5"/>
        <v>47.058823529411761</v>
      </c>
      <c r="W24" s="113">
        <f t="shared" si="0"/>
        <v>54.481654047757722</v>
      </c>
      <c r="X24" s="33"/>
      <c r="Y24" s="26"/>
      <c r="Z24" s="181"/>
      <c r="AA24" s="181"/>
      <c r="AB24" s="181"/>
      <c r="AC24" s="181"/>
      <c r="AD24" s="181"/>
      <c r="AE24" s="181"/>
      <c r="AF24" s="181"/>
    </row>
    <row r="25" spans="2:33" s="27" customFormat="1" x14ac:dyDescent="0.2">
      <c r="B25" s="110">
        <v>90</v>
      </c>
      <c r="C25" s="180"/>
      <c r="D25" s="180"/>
      <c r="E25" s="180"/>
      <c r="F25" s="180"/>
      <c r="G25" s="28">
        <v>21</v>
      </c>
      <c r="H25" s="111">
        <f t="shared" si="2"/>
        <v>73</v>
      </c>
      <c r="I25" s="112">
        <v>90</v>
      </c>
      <c r="J25" s="180"/>
      <c r="K25" s="180"/>
      <c r="L25" s="180"/>
      <c r="M25" s="180"/>
      <c r="N25" s="28">
        <v>16</v>
      </c>
      <c r="O25" s="190">
        <f t="shared" si="3"/>
        <v>77.227722772277232</v>
      </c>
      <c r="P25" s="112">
        <v>90</v>
      </c>
      <c r="Q25" s="180"/>
      <c r="R25" s="180"/>
      <c r="S25" s="180"/>
      <c r="T25" s="180"/>
      <c r="U25" s="28">
        <v>16</v>
      </c>
      <c r="V25" s="190">
        <f t="shared" si="5"/>
        <v>71.568627450980387</v>
      </c>
      <c r="W25" s="113">
        <f t="shared" si="0"/>
        <v>73.932116741085864</v>
      </c>
      <c r="X25" s="33"/>
      <c r="Y25" s="26"/>
      <c r="Z25" s="181"/>
      <c r="AA25" s="181"/>
      <c r="AB25" s="181"/>
      <c r="AC25" s="181"/>
      <c r="AD25" s="181"/>
      <c r="AE25" s="181"/>
      <c r="AF25" s="181"/>
    </row>
    <row r="26" spans="2:33" s="27" customFormat="1" x14ac:dyDescent="0.2">
      <c r="B26" s="114">
        <v>128</v>
      </c>
      <c r="C26" s="180"/>
      <c r="D26" s="180"/>
      <c r="E26" s="180"/>
      <c r="F26" s="180"/>
      <c r="G26" s="28">
        <v>5</v>
      </c>
      <c r="H26" s="111">
        <f t="shared" si="2"/>
        <v>94</v>
      </c>
      <c r="I26" s="115">
        <v>128</v>
      </c>
      <c r="J26" s="180"/>
      <c r="K26" s="180"/>
      <c r="L26" s="180"/>
      <c r="M26" s="180"/>
      <c r="N26" s="28">
        <v>7</v>
      </c>
      <c r="O26" s="190">
        <f t="shared" si="3"/>
        <v>93.069306930693074</v>
      </c>
      <c r="P26" s="115">
        <v>128</v>
      </c>
      <c r="Q26" s="180"/>
      <c r="R26" s="180"/>
      <c r="S26" s="180"/>
      <c r="T26" s="180"/>
      <c r="U26" s="28">
        <v>13</v>
      </c>
      <c r="V26" s="190">
        <f t="shared" si="5"/>
        <v>87.254901960784309</v>
      </c>
      <c r="W26" s="113">
        <f t="shared" si="0"/>
        <v>91.441402963825794</v>
      </c>
      <c r="X26" s="33"/>
      <c r="Y26" s="26"/>
      <c r="Z26" s="181"/>
      <c r="AA26" s="181"/>
      <c r="AB26" s="181"/>
      <c r="AC26" s="181"/>
      <c r="AD26" s="181"/>
      <c r="AE26" s="181"/>
      <c r="AF26" s="181"/>
    </row>
    <row r="27" spans="2:33" s="27" customFormat="1" x14ac:dyDescent="0.2">
      <c r="B27" s="114">
        <v>180</v>
      </c>
      <c r="C27" s="180"/>
      <c r="D27" s="180"/>
      <c r="E27" s="180"/>
      <c r="F27" s="180"/>
      <c r="G27" s="28">
        <v>1</v>
      </c>
      <c r="H27" s="111">
        <f t="shared" si="2"/>
        <v>99</v>
      </c>
      <c r="I27" s="115">
        <v>180</v>
      </c>
      <c r="J27" s="180"/>
      <c r="K27" s="180"/>
      <c r="L27" s="180"/>
      <c r="M27" s="180"/>
      <c r="N27" s="28">
        <v>0</v>
      </c>
      <c r="O27" s="190">
        <f t="shared" si="3"/>
        <v>100</v>
      </c>
      <c r="P27" s="115">
        <v>180</v>
      </c>
      <c r="Q27" s="180"/>
      <c r="R27" s="180"/>
      <c r="S27" s="180"/>
      <c r="T27" s="180"/>
      <c r="U27" s="28">
        <v>0</v>
      </c>
      <c r="V27" s="190">
        <f t="shared" si="5"/>
        <v>100</v>
      </c>
      <c r="W27" s="113">
        <f>AVERAGE(H27,V27,O27)</f>
        <v>99.666666666666671</v>
      </c>
      <c r="X27" s="33"/>
      <c r="Y27" s="26"/>
      <c r="Z27" s="181"/>
      <c r="AA27" s="181"/>
      <c r="AB27" s="181"/>
      <c r="AC27" s="181"/>
      <c r="AD27" s="181"/>
      <c r="AE27" s="181"/>
      <c r="AF27" s="181"/>
    </row>
    <row r="28" spans="2:33" s="27" customFormat="1" x14ac:dyDescent="0.2">
      <c r="B28" s="114">
        <v>256</v>
      </c>
      <c r="C28" s="180"/>
      <c r="D28" s="180"/>
      <c r="E28" s="180"/>
      <c r="F28" s="180"/>
      <c r="G28" s="28">
        <v>0</v>
      </c>
      <c r="H28" s="111">
        <f t="shared" si="2"/>
        <v>100</v>
      </c>
      <c r="I28" s="115">
        <v>256</v>
      </c>
      <c r="J28" s="180"/>
      <c r="K28" s="180"/>
      <c r="L28" s="180"/>
      <c r="M28" s="180"/>
      <c r="N28" s="28">
        <f t="shared" ref="N28:N30" si="6">J28+N27</f>
        <v>0</v>
      </c>
      <c r="O28" s="190">
        <f t="shared" si="3"/>
        <v>100</v>
      </c>
      <c r="P28" s="115">
        <v>256</v>
      </c>
      <c r="Q28" s="180"/>
      <c r="R28" s="180"/>
      <c r="S28" s="180"/>
      <c r="T28" s="180"/>
      <c r="U28" s="28">
        <f t="shared" si="4"/>
        <v>0</v>
      </c>
      <c r="V28" s="190">
        <f t="shared" si="5"/>
        <v>100</v>
      </c>
      <c r="W28" s="113">
        <f>AVERAGE(H28,V28,O28)</f>
        <v>100</v>
      </c>
      <c r="X28" s="33"/>
      <c r="Y28" s="26"/>
      <c r="Z28" s="181"/>
      <c r="AA28" s="181"/>
      <c r="AB28" s="181"/>
      <c r="AC28" s="181"/>
      <c r="AD28" s="181"/>
      <c r="AE28" s="181"/>
      <c r="AF28" s="181"/>
    </row>
    <row r="29" spans="2:33" s="27" customFormat="1" ht="17.25" x14ac:dyDescent="0.25">
      <c r="B29" s="114">
        <v>360</v>
      </c>
      <c r="C29" s="180"/>
      <c r="D29" s="180"/>
      <c r="E29" s="180"/>
      <c r="F29" s="180"/>
      <c r="G29" s="28">
        <f t="shared" si="1"/>
        <v>0</v>
      </c>
      <c r="H29" s="111">
        <f t="shared" si="2"/>
        <v>100</v>
      </c>
      <c r="I29" s="115">
        <v>360</v>
      </c>
      <c r="J29" s="180"/>
      <c r="K29" s="180"/>
      <c r="L29" s="180"/>
      <c r="M29" s="180"/>
      <c r="N29" s="28">
        <f t="shared" si="6"/>
        <v>0</v>
      </c>
      <c r="O29" s="190">
        <f t="shared" si="3"/>
        <v>100</v>
      </c>
      <c r="P29" s="115">
        <v>360</v>
      </c>
      <c r="Q29" s="180"/>
      <c r="R29" s="180"/>
      <c r="S29" s="180"/>
      <c r="T29" s="180"/>
      <c r="U29" s="28">
        <f t="shared" si="4"/>
        <v>0</v>
      </c>
      <c r="V29" s="111">
        <f t="shared" si="5"/>
        <v>100</v>
      </c>
      <c r="W29" s="113">
        <f>AVERAGE(V29,O29,H29)</f>
        <v>100</v>
      </c>
      <c r="X29" s="33"/>
      <c r="Y29" s="26"/>
      <c r="Z29" s="181"/>
      <c r="AA29" s="181"/>
      <c r="AB29" s="181"/>
      <c r="AC29" s="181"/>
      <c r="AD29" s="181"/>
      <c r="AE29" s="181"/>
      <c r="AF29" s="181"/>
      <c r="AG29" s="34"/>
    </row>
    <row r="30" spans="2:33" s="27" customFormat="1" ht="18" thickBot="1" x14ac:dyDescent="0.3">
      <c r="B30" s="118">
        <v>512</v>
      </c>
      <c r="C30" s="169"/>
      <c r="D30" s="170"/>
      <c r="E30" s="170"/>
      <c r="F30" s="171"/>
      <c r="G30" s="28">
        <f t="shared" si="1"/>
        <v>0</v>
      </c>
      <c r="H30" s="111">
        <f t="shared" si="2"/>
        <v>100</v>
      </c>
      <c r="I30" s="119">
        <v>512</v>
      </c>
      <c r="J30" s="169"/>
      <c r="K30" s="170"/>
      <c r="L30" s="170"/>
      <c r="M30" s="171"/>
      <c r="N30" s="28">
        <f t="shared" si="6"/>
        <v>0</v>
      </c>
      <c r="O30" s="111">
        <f t="shared" si="3"/>
        <v>100</v>
      </c>
      <c r="P30" s="119">
        <v>512</v>
      </c>
      <c r="Q30" s="180"/>
      <c r="R30" s="180"/>
      <c r="S30" s="180"/>
      <c r="T30" s="180"/>
      <c r="U30" s="28">
        <f t="shared" si="4"/>
        <v>0</v>
      </c>
      <c r="V30" s="111">
        <f t="shared" si="5"/>
        <v>100</v>
      </c>
      <c r="W30" s="120">
        <f>AVERAGE(V30,O30,H30)</f>
        <v>100</v>
      </c>
      <c r="X30" s="33"/>
      <c r="Y30" s="26"/>
      <c r="Z30" s="173"/>
      <c r="AA30" s="174"/>
      <c r="AB30" s="174"/>
      <c r="AC30" s="174"/>
      <c r="AD30" s="174"/>
      <c r="AE30" s="174"/>
      <c r="AF30" s="175"/>
      <c r="AG30" s="34"/>
    </row>
    <row r="31" spans="2:33" s="27" customFormat="1" ht="13.9" x14ac:dyDescent="0.25">
      <c r="H31" s="35"/>
      <c r="Y31" s="26"/>
      <c r="Z31" s="173"/>
      <c r="AA31" s="174"/>
      <c r="AB31" s="174"/>
      <c r="AC31" s="174"/>
      <c r="AD31" s="174"/>
      <c r="AE31" s="174"/>
      <c r="AF31" s="175"/>
    </row>
    <row r="32" spans="2:33" s="27" customFormat="1" ht="14.45" thickBot="1" x14ac:dyDescent="0.3">
      <c r="C32" s="172" t="s">
        <v>21</v>
      </c>
      <c r="D32" s="172"/>
      <c r="E32" s="172"/>
      <c r="F32" s="172"/>
      <c r="G32" s="172"/>
      <c r="H32" s="172"/>
      <c r="I32" s="36"/>
      <c r="J32" s="172" t="s">
        <v>22</v>
      </c>
      <c r="K32" s="172"/>
      <c r="L32" s="172"/>
      <c r="M32" s="172"/>
      <c r="N32" s="172"/>
      <c r="O32" s="172"/>
      <c r="P32" s="36"/>
      <c r="Q32" s="172" t="s">
        <v>23</v>
      </c>
      <c r="R32" s="172"/>
      <c r="S32" s="172"/>
      <c r="T32" s="172"/>
      <c r="U32" s="172"/>
      <c r="V32" s="172"/>
      <c r="Y32" s="26"/>
      <c r="Z32" s="173"/>
      <c r="AA32" s="174"/>
      <c r="AB32" s="174"/>
      <c r="AC32" s="174"/>
      <c r="AD32" s="174"/>
      <c r="AE32" s="174"/>
      <c r="AF32" s="175"/>
    </row>
    <row r="33" spans="2:34" s="27" customFormat="1" ht="13.9" x14ac:dyDescent="0.25">
      <c r="C33" s="37"/>
      <c r="D33" s="38"/>
      <c r="E33" s="38"/>
      <c r="F33" s="38"/>
      <c r="G33" s="178"/>
      <c r="H33" s="179"/>
      <c r="I33" s="30"/>
      <c r="J33" s="37"/>
      <c r="K33" s="38"/>
      <c r="L33" s="38"/>
      <c r="M33" s="38"/>
      <c r="N33" s="178"/>
      <c r="O33" s="179"/>
      <c r="Q33" s="37"/>
      <c r="R33" s="38"/>
      <c r="S33" s="38"/>
      <c r="T33" s="38"/>
      <c r="U33" s="178"/>
      <c r="V33" s="179"/>
      <c r="Y33" s="26"/>
      <c r="Z33" s="173"/>
      <c r="AA33" s="174"/>
      <c r="AB33" s="174"/>
      <c r="AC33" s="174"/>
      <c r="AD33" s="174"/>
      <c r="AE33" s="174"/>
      <c r="AF33" s="175"/>
    </row>
    <row r="34" spans="2:34" s="27" customFormat="1" ht="13.9" x14ac:dyDescent="0.25">
      <c r="C34" s="39"/>
      <c r="D34" s="40"/>
      <c r="E34" s="40"/>
      <c r="F34" s="40"/>
      <c r="G34" s="176"/>
      <c r="H34" s="177"/>
      <c r="I34" s="30"/>
      <c r="J34" s="39"/>
      <c r="K34" s="40"/>
      <c r="L34" s="40"/>
      <c r="M34" s="40"/>
      <c r="N34" s="176"/>
      <c r="O34" s="177"/>
      <c r="Q34" s="39"/>
      <c r="R34" s="40"/>
      <c r="S34" s="40"/>
      <c r="T34" s="40"/>
      <c r="U34" s="176"/>
      <c r="V34" s="177"/>
      <c r="Y34" s="56"/>
      <c r="Z34" s="173"/>
      <c r="AA34" s="174"/>
      <c r="AB34" s="174"/>
      <c r="AC34" s="174"/>
      <c r="AD34" s="174"/>
      <c r="AE34" s="174"/>
      <c r="AF34" s="175"/>
    </row>
    <row r="35" spans="2:34" s="27" customFormat="1" ht="13.9" x14ac:dyDescent="0.25">
      <c r="C35" s="39"/>
      <c r="D35" s="40"/>
      <c r="E35" s="40"/>
      <c r="F35" s="40"/>
      <c r="G35" s="176"/>
      <c r="H35" s="177"/>
      <c r="I35" s="30"/>
      <c r="J35" s="39"/>
      <c r="K35" s="40"/>
      <c r="L35" s="40"/>
      <c r="M35" s="40"/>
      <c r="N35" s="176"/>
      <c r="O35" s="177"/>
      <c r="Q35" s="39"/>
      <c r="R35" s="40"/>
      <c r="S35" s="40"/>
      <c r="T35" s="40"/>
      <c r="U35" s="176"/>
      <c r="V35" s="177"/>
      <c r="Y35" s="26"/>
      <c r="Z35" s="173"/>
      <c r="AA35" s="174"/>
      <c r="AB35" s="174"/>
      <c r="AC35" s="174"/>
      <c r="AD35" s="174"/>
      <c r="AE35" s="174"/>
      <c r="AF35" s="175"/>
    </row>
    <row r="36" spans="2:34" s="27" customFormat="1" ht="14.45" thickBot="1" x14ac:dyDescent="0.3">
      <c r="C36" s="43"/>
      <c r="D36" s="44"/>
      <c r="E36" s="44"/>
      <c r="F36" s="44"/>
      <c r="G36" s="166"/>
      <c r="H36" s="167"/>
      <c r="I36" s="30"/>
      <c r="J36" s="43"/>
      <c r="K36" s="44"/>
      <c r="L36" s="44"/>
      <c r="M36" s="44"/>
      <c r="N36" s="45"/>
      <c r="O36" s="46"/>
      <c r="Q36" s="43"/>
      <c r="R36" s="44"/>
      <c r="S36" s="44"/>
      <c r="T36" s="44"/>
      <c r="U36" s="166"/>
      <c r="V36" s="167"/>
      <c r="Z36" s="42"/>
      <c r="AA36" s="168"/>
      <c r="AB36" s="168"/>
      <c r="AC36" s="168"/>
      <c r="AD36" s="36"/>
      <c r="AF36" s="17"/>
    </row>
    <row r="37" spans="2:34" s="27" customFormat="1" ht="13.9" x14ac:dyDescent="0.25">
      <c r="B37" s="1" t="s">
        <v>70</v>
      </c>
      <c r="C37" s="131" t="s">
        <v>120</v>
      </c>
      <c r="G37" s="1"/>
      <c r="H37" s="35"/>
      <c r="K37" s="183" t="s">
        <v>106</v>
      </c>
      <c r="L37" s="183"/>
      <c r="M37" s="132">
        <v>561</v>
      </c>
      <c r="N37" s="1"/>
      <c r="R37" s="41"/>
      <c r="S37" s="134" t="s">
        <v>72</v>
      </c>
      <c r="T37" s="133">
        <v>1</v>
      </c>
      <c r="U37" s="27" t="s">
        <v>107</v>
      </c>
      <c r="V37" s="133">
        <v>2</v>
      </c>
      <c r="Y37" s="1" t="s">
        <v>70</v>
      </c>
      <c r="Z37" s="6" t="s">
        <v>120</v>
      </c>
      <c r="AA37" s="1"/>
      <c r="AB37" s="134" t="s">
        <v>106</v>
      </c>
      <c r="AC37" s="6">
        <v>562</v>
      </c>
      <c r="AE37" s="1" t="s">
        <v>72</v>
      </c>
      <c r="AF37" s="123">
        <v>2</v>
      </c>
      <c r="AG37" s="130" t="s">
        <v>107</v>
      </c>
      <c r="AH37" s="135">
        <v>2</v>
      </c>
    </row>
    <row r="38" spans="2:34" s="27" customFormat="1" ht="13.9" x14ac:dyDescent="0.25">
      <c r="G38" s="30"/>
      <c r="H38" s="47"/>
      <c r="I38" s="30"/>
      <c r="J38" s="30"/>
      <c r="K38" s="30"/>
      <c r="L38" s="30"/>
      <c r="M38" s="30"/>
      <c r="N38" s="31"/>
      <c r="O38" s="32"/>
      <c r="P38" s="32"/>
      <c r="Q38" s="32"/>
      <c r="R38" s="32"/>
      <c r="S38" s="32"/>
      <c r="T38" s="32"/>
      <c r="AA38" s="36"/>
      <c r="AB38" s="48"/>
      <c r="AC38" s="36"/>
      <c r="AE38" s="32"/>
      <c r="AF38" s="32"/>
    </row>
    <row r="39" spans="2:34" s="27" customFormat="1" ht="13.9" x14ac:dyDescent="0.25">
      <c r="H39" s="35"/>
      <c r="Z39" s="32"/>
      <c r="AA39" s="30"/>
      <c r="AB39" s="30"/>
      <c r="AC39" s="31"/>
      <c r="AD39" s="32"/>
      <c r="AE39" s="32"/>
      <c r="AF39" s="32"/>
    </row>
    <row r="40" spans="2:34" s="27" customFormat="1" ht="13.9" x14ac:dyDescent="0.25">
      <c r="E40" s="97"/>
      <c r="F40" s="97"/>
      <c r="G40" s="97"/>
      <c r="H40" s="98"/>
      <c r="I40" s="97"/>
      <c r="J40" s="97"/>
      <c r="K40" s="97"/>
      <c r="L40" s="97"/>
      <c r="M40" s="97"/>
      <c r="N40" s="97"/>
      <c r="O40" s="97"/>
      <c r="P40" s="97"/>
      <c r="Q40" s="97"/>
      <c r="R40" s="97"/>
      <c r="S40" s="97"/>
      <c r="T40" s="97"/>
      <c r="U40" s="97"/>
      <c r="V40" s="97"/>
      <c r="W40" s="97" t="s">
        <v>78</v>
      </c>
      <c r="X40" s="97"/>
      <c r="Z40" s="30"/>
      <c r="AA40" s="30"/>
      <c r="AB40" s="30"/>
      <c r="AC40" s="31"/>
      <c r="AD40" s="32"/>
      <c r="AF40" s="32"/>
    </row>
    <row r="41" spans="2:34" s="27" customFormat="1" ht="14.45" x14ac:dyDescent="0.3">
      <c r="E41" s="94" t="s">
        <v>73</v>
      </c>
      <c r="F41" s="94" t="s">
        <v>10</v>
      </c>
      <c r="G41" s="97"/>
      <c r="H41" s="97"/>
      <c r="I41" s="97"/>
      <c r="J41" s="97"/>
      <c r="K41" s="97"/>
      <c r="L41" s="94" t="s">
        <v>73</v>
      </c>
      <c r="M41" s="94" t="s">
        <v>10</v>
      </c>
      <c r="N41" s="97"/>
      <c r="O41" s="97"/>
      <c r="P41" s="97"/>
      <c r="Q41" s="97"/>
      <c r="R41" s="97"/>
      <c r="S41" s="94" t="s">
        <v>73</v>
      </c>
      <c r="T41" s="94" t="s">
        <v>10</v>
      </c>
      <c r="U41" s="97"/>
      <c r="V41" s="97"/>
      <c r="W41" s="94" t="s">
        <v>10</v>
      </c>
      <c r="X41" s="101"/>
      <c r="Z41" s="30"/>
      <c r="AA41" s="30"/>
      <c r="AB41" s="30"/>
      <c r="AC41" s="31"/>
      <c r="AD41" s="32"/>
      <c r="AF41" s="32"/>
    </row>
    <row r="42" spans="2:34" s="27" customFormat="1" ht="14.45" x14ac:dyDescent="0.3">
      <c r="E42" s="94">
        <v>16</v>
      </c>
      <c r="F42" s="95">
        <f ca="1">10^(FORECAST(E42,LOG(OFFSET(B$14:B$29,MATCH(E42,H$14:H$29,1)-1,0,2)),OFFSET(H$14:H$29,MATCH(E42,H$14:H$29,1)-1,0,2)))</f>
        <v>28.664716244927188</v>
      </c>
      <c r="G42" s="97"/>
      <c r="H42" s="97"/>
      <c r="I42" s="97"/>
      <c r="J42" s="97"/>
      <c r="K42" s="97"/>
      <c r="L42" s="94">
        <v>16</v>
      </c>
      <c r="M42" s="95">
        <f ca="1">10^(FORECAST(L42,LOG(OFFSET(I$14:I$29,MATCH(L42,O$14:O$29,1)-1,0,2)),OFFSET(O$14:O$29,MATCH(L42,O$14:O$29,1)-1,0,2)))</f>
        <v>29.991899051466987</v>
      </c>
      <c r="N42" s="97"/>
      <c r="O42" s="97"/>
      <c r="P42" s="97"/>
      <c r="Q42" s="97"/>
      <c r="R42" s="97"/>
      <c r="S42" s="94">
        <v>16</v>
      </c>
      <c r="T42" s="95">
        <f ca="1">10^(FORECAST(S42,LOG(OFFSET(P$14:P$29,MATCH(S42,V$14:V$29,1)-1,0,2)),OFFSET(V$14:V$29,MATCH(S42,V$14:V$29,1)-1,0,2)))</f>
        <v>40.15293755104058</v>
      </c>
      <c r="U42" s="97"/>
      <c r="V42" s="99"/>
      <c r="W42" s="95">
        <f ca="1">10^(FORECAST(S42,LOG(OFFSET(P$14:P$29,MATCH(S42,W$14:W$29,1)-1,0,2)),OFFSET(W$14:W$29,MATCH(S42,W$14:W$29,1)-1,0,2)))</f>
        <v>32.494305002989101</v>
      </c>
      <c r="X42" s="95"/>
    </row>
    <row r="43" spans="2:34" s="27" customFormat="1" ht="14.45" x14ac:dyDescent="0.3">
      <c r="E43" s="94">
        <v>50</v>
      </c>
      <c r="F43" s="95">
        <f t="shared" ref="F43:F45" ca="1" si="7">10^(FORECAST(E43,LOG(OFFSET(B$14:B$29,MATCH(E43,H$14:H$29,1)-1,0,2)),OFFSET(H$14:H$29,MATCH(E43,H$14:H$29,1)-1,0,2)))</f>
        <v>58.334486490450644</v>
      </c>
      <c r="G43" s="97"/>
      <c r="H43" s="97"/>
      <c r="I43" s="97"/>
      <c r="J43" s="97"/>
      <c r="K43" s="97"/>
      <c r="L43" s="94">
        <v>50</v>
      </c>
      <c r="M43" s="95">
        <f t="shared" ref="M43:M45" ca="1" si="8">10^(FORECAST(L43,LOG(OFFSET(I$14:I$29,MATCH(L43,O$14:O$29,1)-1,0,2)),OFFSET(O$14:O$29,MATCH(L43,O$14:O$29,1)-1,0,2)))</f>
        <v>52.77303594167487</v>
      </c>
      <c r="N43" s="97"/>
      <c r="O43" s="97"/>
      <c r="P43" s="97"/>
      <c r="Q43" s="97"/>
      <c r="R43" s="97"/>
      <c r="S43" s="94">
        <v>50</v>
      </c>
      <c r="T43" s="95">
        <f t="shared" ref="T43:T45" ca="1" si="9">10^(FORECAST(S43,LOG(OFFSET(P$14:P$29,MATCH(S43,V$14:V$29,1)-1,0,2)),OFFSET(V$14:V$29,MATCH(S43,V$14:V$29,1)-1,0,2)))</f>
        <v>66.672613326285997</v>
      </c>
      <c r="U43" s="97"/>
      <c r="V43" s="99"/>
      <c r="W43" s="95">
        <f t="shared" ref="W43:W45" ca="1" si="10">10^(FORECAST(S43,LOG(OFFSET(P$14:P$29,MATCH(S43,W$14:W$29,1)-1,0,2)),OFFSET(W$14:W$29,MATCH(S43,W$14:W$29,1)-1,0,2)))</f>
        <v>59.5857294180473</v>
      </c>
      <c r="X43" s="95"/>
    </row>
    <row r="44" spans="2:34" s="27" customFormat="1" ht="14.45" x14ac:dyDescent="0.3">
      <c r="E44" s="94">
        <v>84</v>
      </c>
      <c r="F44" s="95">
        <f t="shared" ca="1" si="7"/>
        <v>108.23514964390878</v>
      </c>
      <c r="G44" s="97"/>
      <c r="H44" s="97"/>
      <c r="I44" s="97"/>
      <c r="J44" s="97"/>
      <c r="K44" s="97"/>
      <c r="L44" s="94">
        <v>84</v>
      </c>
      <c r="M44" s="95">
        <f t="shared" ca="1" si="8"/>
        <v>104.62515121253702</v>
      </c>
      <c r="N44" s="97"/>
      <c r="O44" s="97"/>
      <c r="P44" s="97"/>
      <c r="Q44" s="97"/>
      <c r="R44" s="97"/>
      <c r="S44" s="94">
        <v>84</v>
      </c>
      <c r="T44" s="95">
        <f t="shared" ca="1" si="9"/>
        <v>118.97870062533343</v>
      </c>
      <c r="U44" s="97"/>
      <c r="V44" s="99"/>
      <c r="W44" s="95">
        <f t="shared" ca="1" si="10"/>
        <v>110.20446248711356</v>
      </c>
      <c r="X44" s="95"/>
    </row>
    <row r="45" spans="2:34" s="27" customFormat="1" ht="14.45" x14ac:dyDescent="0.3">
      <c r="E45" s="94">
        <v>90</v>
      </c>
      <c r="F45" s="95">
        <f t="shared" ca="1" si="7"/>
        <v>119.69425627124778</v>
      </c>
      <c r="G45" s="97"/>
      <c r="H45" s="97"/>
      <c r="I45" s="97"/>
      <c r="J45" s="97"/>
      <c r="K45" s="97"/>
      <c r="L45" s="94">
        <v>90</v>
      </c>
      <c r="M45" s="95">
        <f t="shared" ca="1" si="8"/>
        <v>119.55631599421373</v>
      </c>
      <c r="N45" s="97"/>
      <c r="O45" s="97"/>
      <c r="P45" s="97"/>
      <c r="Q45" s="97"/>
      <c r="R45" s="97"/>
      <c r="S45" s="94">
        <v>90</v>
      </c>
      <c r="T45" s="95">
        <f t="shared" ca="1" si="9"/>
        <v>137.75277675056137</v>
      </c>
      <c r="U45" s="97"/>
      <c r="V45" s="99"/>
      <c r="W45" s="95">
        <f t="shared" ca="1" si="10"/>
        <v>124.34185776511855</v>
      </c>
      <c r="X45" s="95"/>
    </row>
    <row r="46" spans="2:34" s="27" customFormat="1" ht="14.45" x14ac:dyDescent="0.3">
      <c r="E46" s="96"/>
      <c r="F46" s="96"/>
      <c r="G46" s="97"/>
      <c r="H46" s="97"/>
      <c r="I46" s="97"/>
      <c r="J46" s="97"/>
      <c r="K46" s="97"/>
      <c r="L46" s="96"/>
      <c r="M46" s="96"/>
      <c r="N46" s="97"/>
      <c r="O46" s="97"/>
      <c r="P46" s="97"/>
      <c r="Q46" s="97"/>
      <c r="R46" s="97"/>
      <c r="S46" s="96"/>
      <c r="T46" s="96"/>
      <c r="U46" s="97"/>
      <c r="V46" s="97"/>
      <c r="W46" s="96"/>
      <c r="X46" s="96"/>
    </row>
    <row r="47" spans="2:34" s="27" customFormat="1" ht="14.45" x14ac:dyDescent="0.3">
      <c r="E47" s="94" t="s">
        <v>74</v>
      </c>
      <c r="F47" s="95">
        <f ca="1">0.5*(F44/F43+F43/F42)</f>
        <v>1.9452427191369992</v>
      </c>
      <c r="G47" s="97"/>
      <c r="H47" s="97"/>
      <c r="I47" s="97"/>
      <c r="J47" s="97"/>
      <c r="K47" s="97"/>
      <c r="L47" s="94" t="s">
        <v>74</v>
      </c>
      <c r="M47" s="95">
        <f ca="1">0.5*(M44/M43+M43/M42)</f>
        <v>1.8710628741054998</v>
      </c>
      <c r="N47" s="97"/>
      <c r="O47" s="97"/>
      <c r="P47" s="97"/>
      <c r="Q47" s="97"/>
      <c r="R47" s="97"/>
      <c r="S47" s="94" t="s">
        <v>74</v>
      </c>
      <c r="T47" s="95">
        <f ca="1">0.5*(T44/T43+T43/T42)</f>
        <v>1.7224939854415595</v>
      </c>
      <c r="U47" s="97"/>
      <c r="V47" s="97"/>
      <c r="W47" s="95">
        <f ca="1">0.5*(W44/W43+W43/W42)</f>
        <v>1.8416196963149998</v>
      </c>
      <c r="X47" s="95"/>
    </row>
    <row r="48" spans="2:34" s="27" customFormat="1" ht="14.45" x14ac:dyDescent="0.3">
      <c r="E48" s="96"/>
      <c r="F48" s="95"/>
      <c r="G48" s="97"/>
      <c r="H48" s="97"/>
      <c r="I48" s="97"/>
      <c r="J48" s="97"/>
      <c r="K48" s="97"/>
      <c r="L48" s="96"/>
      <c r="M48" s="95"/>
      <c r="N48" s="97"/>
      <c r="O48" s="97"/>
      <c r="P48" s="97"/>
      <c r="Q48" s="97"/>
      <c r="R48" s="97"/>
      <c r="S48" s="96"/>
      <c r="T48" s="95"/>
      <c r="U48" s="97"/>
      <c r="V48" s="97"/>
      <c r="W48" s="95"/>
      <c r="X48" s="95"/>
    </row>
    <row r="49" spans="5:24" s="27" customFormat="1" ht="14.45" x14ac:dyDescent="0.3">
      <c r="E49" s="96" t="s">
        <v>76</v>
      </c>
      <c r="F49" s="95">
        <f>H13</f>
        <v>9</v>
      </c>
      <c r="G49" s="97"/>
      <c r="H49" s="97"/>
      <c r="I49" s="97"/>
      <c r="J49" s="97"/>
      <c r="K49" s="97"/>
      <c r="L49" s="96" t="s">
        <v>76</v>
      </c>
      <c r="M49" s="95">
        <f>O13</f>
        <v>13</v>
      </c>
      <c r="N49" s="97"/>
      <c r="O49" s="97"/>
      <c r="P49" s="97"/>
      <c r="Q49" s="97"/>
      <c r="R49" s="97"/>
      <c r="S49" s="96" t="s">
        <v>76</v>
      </c>
      <c r="T49" s="95">
        <f>V13</f>
        <v>0</v>
      </c>
      <c r="U49" s="97"/>
      <c r="V49" s="97"/>
      <c r="W49" s="95">
        <f>AVERAGE(T49,M49,F49)</f>
        <v>7.333333333333333</v>
      </c>
      <c r="X49" s="95"/>
    </row>
    <row r="50" spans="5:24" s="27" customFormat="1" ht="13.9" x14ac:dyDescent="0.25">
      <c r="H50" s="35"/>
    </row>
    <row r="51" spans="5:24" s="27" customFormat="1" ht="13.9" x14ac:dyDescent="0.25">
      <c r="H51" s="35"/>
    </row>
    <row r="52" spans="5:24" s="27" customFormat="1" ht="13.9" x14ac:dyDescent="0.25">
      <c r="H52" s="35"/>
    </row>
    <row r="53" spans="5:24" s="27" customFormat="1" ht="13.9" x14ac:dyDescent="0.25">
      <c r="H53" s="35"/>
    </row>
    <row r="54" spans="5:24" s="27" customFormat="1" ht="13.9" x14ac:dyDescent="0.25">
      <c r="H54" s="35"/>
    </row>
    <row r="55" spans="5:24" s="27" customFormat="1" ht="13.9" x14ac:dyDescent="0.25">
      <c r="H55" s="35"/>
    </row>
    <row r="56" spans="5:24" s="27" customFormat="1" ht="13.9" x14ac:dyDescent="0.25">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9">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4:F24"/>
    <mergeCell ref="J24:M24"/>
    <mergeCell ref="Q24:T24"/>
    <mergeCell ref="Z24:AF24"/>
    <mergeCell ref="Z30:AF30"/>
    <mergeCell ref="C25:F25"/>
    <mergeCell ref="J25:M25"/>
    <mergeCell ref="Q25:T25"/>
    <mergeCell ref="Z25:AF25"/>
    <mergeCell ref="Q30:T30"/>
    <mergeCell ref="Z33:AF33"/>
    <mergeCell ref="C27:F27"/>
    <mergeCell ref="J27:M27"/>
    <mergeCell ref="Q27:T27"/>
    <mergeCell ref="Z27:AF27"/>
    <mergeCell ref="J30:M30"/>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D7" sqref="D7"/>
    </sheetView>
  </sheetViews>
  <sheetFormatPr defaultRowHeight="15" x14ac:dyDescent="0.25"/>
  <sheetData>
    <row r="6" spans="3:8" x14ac:dyDescent="0.25">
      <c r="C6" s="96"/>
      <c r="D6" s="189" t="s">
        <v>142</v>
      </c>
      <c r="E6" s="189"/>
      <c r="F6" s="189"/>
      <c r="G6" s="189"/>
      <c r="H6" s="94" t="s">
        <v>79</v>
      </c>
    </row>
    <row r="7" spans="3:8" x14ac:dyDescent="0.25">
      <c r="C7" s="96"/>
      <c r="D7" s="94" t="s">
        <v>11</v>
      </c>
      <c r="E7" s="94" t="s">
        <v>14</v>
      </c>
      <c r="F7" s="94" t="s">
        <v>15</v>
      </c>
      <c r="G7" s="94" t="s">
        <v>80</v>
      </c>
      <c r="H7" s="94" t="s">
        <v>81</v>
      </c>
    </row>
    <row r="8" spans="3:8" x14ac:dyDescent="0.25">
      <c r="C8" s="96" t="s">
        <v>82</v>
      </c>
      <c r="D8" s="95">
        <f ca="1">Surface!F42</f>
        <v>28.664716244927188</v>
      </c>
      <c r="E8" s="95">
        <f ca="1">Surface!M42</f>
        <v>29.991899051466987</v>
      </c>
      <c r="F8" s="95">
        <f ca="1">Surface!T42</f>
        <v>40.15293755104058</v>
      </c>
      <c r="G8" s="95">
        <f ca="1">Surface!W42</f>
        <v>32.494305002989101</v>
      </c>
      <c r="H8" s="95">
        <f ca="1">SubS!AD33</f>
        <v>1.2741327113645844</v>
      </c>
    </row>
    <row r="9" spans="3:8" x14ac:dyDescent="0.25">
      <c r="C9" s="96" t="s">
        <v>83</v>
      </c>
      <c r="D9" s="95">
        <f ca="1">Surface!F43</f>
        <v>58.334486490450644</v>
      </c>
      <c r="E9" s="95">
        <f ca="1">Surface!M43</f>
        <v>52.77303594167487</v>
      </c>
      <c r="F9" s="95">
        <f ca="1">Surface!T43</f>
        <v>66.672613326285997</v>
      </c>
      <c r="G9" s="95">
        <f ca="1">Surface!W43</f>
        <v>59.5857294180473</v>
      </c>
      <c r="H9" s="95">
        <f ca="1">SubS!AD34</f>
        <v>35.927521194332968</v>
      </c>
    </row>
    <row r="10" spans="3:8" x14ac:dyDescent="0.25">
      <c r="C10" s="96" t="s">
        <v>84</v>
      </c>
      <c r="D10" s="95">
        <f ca="1">Surface!F44</f>
        <v>108.23514964390878</v>
      </c>
      <c r="E10" s="95">
        <f ca="1">Surface!M44</f>
        <v>104.62515121253702</v>
      </c>
      <c r="F10" s="95">
        <f ca="1">Surface!T44</f>
        <v>118.97870062533343</v>
      </c>
      <c r="G10" s="95">
        <f ca="1">Surface!W44</f>
        <v>110.20446248711356</v>
      </c>
      <c r="H10" s="95">
        <f ca="1">SubS!AD35</f>
        <v>83.416547365970033</v>
      </c>
    </row>
    <row r="11" spans="3:8" x14ac:dyDescent="0.25">
      <c r="C11" s="96" t="s">
        <v>85</v>
      </c>
      <c r="D11" s="95">
        <f ca="1">Surface!F45</f>
        <v>119.69425627124778</v>
      </c>
      <c r="E11" s="95">
        <f ca="1">Surface!M45</f>
        <v>119.55631599421373</v>
      </c>
      <c r="F11" s="95">
        <f ca="1">Surface!T45</f>
        <v>137.75277675056137</v>
      </c>
      <c r="G11" s="95">
        <f ca="1">Surface!W45</f>
        <v>124.34185776511855</v>
      </c>
      <c r="H11" s="95">
        <f ca="1">SubS!AD36</f>
        <v>98.763364687334814</v>
      </c>
    </row>
    <row r="12" spans="3:8" x14ac:dyDescent="0.25">
      <c r="C12" s="96"/>
      <c r="D12" s="95"/>
      <c r="E12" s="95"/>
      <c r="F12" s="95"/>
      <c r="G12" s="95"/>
      <c r="H12" s="95"/>
    </row>
    <row r="13" spans="3:8" x14ac:dyDescent="0.25">
      <c r="C13" s="96" t="s">
        <v>86</v>
      </c>
      <c r="D13" s="95">
        <f ca="1">Surface!F47</f>
        <v>1.9452427191369992</v>
      </c>
      <c r="E13" s="95">
        <f ca="1">Surface!M47</f>
        <v>1.8710628741054998</v>
      </c>
      <c r="F13" s="95">
        <f ca="1">Surface!T47</f>
        <v>1.7224939854415595</v>
      </c>
      <c r="G13" s="95">
        <f ca="1">Surface!W47</f>
        <v>1.8416196963149998</v>
      </c>
      <c r="H13" s="95">
        <f ca="1">SubS!AD38</f>
        <v>15.259714782074354</v>
      </c>
    </row>
    <row r="14" spans="3:8" x14ac:dyDescent="0.25">
      <c r="C14" s="96" t="s">
        <v>87</v>
      </c>
      <c r="D14" s="95">
        <f>Surface!F49</f>
        <v>9</v>
      </c>
      <c r="E14" s="95">
        <f>Surface!M49</f>
        <v>13</v>
      </c>
      <c r="F14" s="95">
        <f>Surface!T49</f>
        <v>0</v>
      </c>
      <c r="G14" s="95">
        <f>Surface!W49</f>
        <v>7.333333333333333</v>
      </c>
      <c r="H14" s="96"/>
    </row>
    <row r="15" spans="3:8" x14ac:dyDescent="0.25">
      <c r="C15" s="96"/>
      <c r="D15" s="96"/>
      <c r="E15" s="96"/>
      <c r="F15" s="96"/>
      <c r="G15" s="96"/>
      <c r="H15" s="96"/>
    </row>
    <row r="16" spans="3:8" x14ac:dyDescent="0.25">
      <c r="C16" s="96" t="s">
        <v>88</v>
      </c>
      <c r="D16" s="96"/>
      <c r="E16" s="96"/>
      <c r="F16" s="96"/>
      <c r="G16" s="96"/>
      <c r="H16" s="95">
        <f>SubS!AD39</f>
        <v>82.168568029252569</v>
      </c>
    </row>
    <row r="17" spans="3:8" x14ac:dyDescent="0.25">
      <c r="C17" s="96" t="s">
        <v>89</v>
      </c>
      <c r="D17" s="96"/>
      <c r="E17" s="96"/>
      <c r="F17" s="96"/>
      <c r="G17" s="96"/>
      <c r="H17" s="95">
        <f>SubS!AD40</f>
        <v>16.705236267331806</v>
      </c>
    </row>
    <row r="18" spans="3:8" x14ac:dyDescent="0.25">
      <c r="C18" s="96" t="s">
        <v>90</v>
      </c>
      <c r="D18" s="96"/>
      <c r="E18" s="96"/>
      <c r="F18" s="96"/>
      <c r="G18" s="96"/>
      <c r="H18" s="95">
        <f>SubS!AD41</f>
        <v>1.1261957034156276</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100" t="s">
        <v>91</v>
      </c>
    </row>
    <row r="2" spans="1:1" x14ac:dyDescent="0.25">
      <c r="A2" s="100"/>
    </row>
    <row r="3" spans="1:1" x14ac:dyDescent="0.25">
      <c r="A3" s="100" t="s">
        <v>94</v>
      </c>
    </row>
    <row r="4" spans="1:1" x14ac:dyDescent="0.25">
      <c r="A4" s="100"/>
    </row>
    <row r="5" spans="1:1" x14ac:dyDescent="0.25">
      <c r="A5" s="100" t="s">
        <v>95</v>
      </c>
    </row>
    <row r="6" spans="1:1" x14ac:dyDescent="0.25">
      <c r="A6" s="100"/>
    </row>
    <row r="7" spans="1:1" x14ac:dyDescent="0.25">
      <c r="A7" s="100" t="s">
        <v>92</v>
      </c>
    </row>
    <row r="8" spans="1:1" x14ac:dyDescent="0.25">
      <c r="A8" s="100"/>
    </row>
    <row r="9" spans="1:1" x14ac:dyDescent="0.25">
      <c r="A9" s="100"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2014-12-18T17:41:25Z</dcterms:modified>
</cp:coreProperties>
</file>