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2 (169.6-184.6)\"/>
    </mc:Choice>
  </mc:AlternateContent>
  <bookViews>
    <workbookView xWindow="8205" yWindow="10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H48" i="1" l="1"/>
  <c r="H45" i="1" l="1"/>
  <c r="H44" i="1"/>
  <c r="E23" i="1"/>
  <c r="E24" i="1"/>
  <c r="E25" i="1"/>
  <c r="U14" i="2"/>
  <c r="U15" i="2" s="1"/>
  <c r="U16" i="2" s="1"/>
  <c r="U17" i="2" s="1"/>
  <c r="U18" i="2" s="1"/>
  <c r="U19" i="2" s="1"/>
  <c r="U13" i="2"/>
  <c r="V13" i="2" s="1"/>
  <c r="N14" i="2"/>
  <c r="N15" i="2" s="1"/>
  <c r="N16" i="2" s="1"/>
  <c r="N17" i="2" s="1"/>
  <c r="N13" i="2"/>
  <c r="O13" i="2" s="1"/>
  <c r="G15" i="2"/>
  <c r="G14" i="2"/>
  <c r="G16" i="2" l="1"/>
  <c r="G17" i="2" s="1"/>
  <c r="G18" i="2" s="1"/>
  <c r="H15" i="2"/>
  <c r="H16" i="2" s="1"/>
  <c r="H17" i="2" s="1"/>
  <c r="H18" i="2" s="1"/>
  <c r="H19" i="2" s="1"/>
  <c r="H20" i="2" s="1"/>
  <c r="H21" i="2" s="1"/>
  <c r="H22" i="2" s="1"/>
  <c r="H23" i="2" s="1"/>
  <c r="H24" i="2" s="1"/>
  <c r="H25" i="2" s="1"/>
  <c r="H26" i="2" s="1"/>
  <c r="H27" i="2" s="1"/>
  <c r="H28" i="2" s="1"/>
  <c r="H29" i="2" s="1"/>
  <c r="H30" i="2" s="1"/>
  <c r="U28" i="2"/>
  <c r="U29" i="2" s="1"/>
  <c r="U30" i="2" s="1"/>
  <c r="N28" i="2"/>
  <c r="N29" i="2" s="1"/>
  <c r="N30" i="2" s="1"/>
  <c r="G29" i="2"/>
  <c r="G30" i="2" s="1"/>
  <c r="H13" i="2"/>
  <c r="F49" i="2" s="1"/>
  <c r="T49" i="2"/>
  <c r="V15" i="2" l="1"/>
  <c r="V16" i="2" s="1"/>
  <c r="V17" i="2" s="1"/>
  <c r="V18" i="2" s="1"/>
  <c r="V19" i="2" s="1"/>
  <c r="V20" i="2" s="1"/>
  <c r="V21" i="2" s="1"/>
  <c r="O15" i="2"/>
  <c r="O16" i="2" s="1"/>
  <c r="O17" i="2" s="1"/>
  <c r="O18" i="2" s="1"/>
  <c r="O19" i="2" s="1"/>
  <c r="O20" i="2" s="1"/>
  <c r="O21" i="2" s="1"/>
  <c r="O22" i="2" s="1"/>
  <c r="O23" i="2" s="1"/>
  <c r="O24" i="2" s="1"/>
  <c r="O25" i="2" s="1"/>
  <c r="O26" i="2" s="1"/>
  <c r="O27" i="2" s="1"/>
  <c r="O28" i="2" s="1"/>
  <c r="O29" i="2" s="1"/>
  <c r="O30" i="2" s="1"/>
  <c r="F14" i="3"/>
  <c r="D14" i="3"/>
  <c r="W14" i="2"/>
  <c r="AF4" i="1"/>
  <c r="AD5" i="1" s="1"/>
  <c r="H43" i="1"/>
  <c r="AC28" i="1" s="1"/>
  <c r="AD3" i="1" s="1"/>
  <c r="H41" i="1"/>
  <c r="AC19" i="1" s="1"/>
  <c r="AD19" i="1" s="1"/>
  <c r="H40" i="1"/>
  <c r="AC18" i="1" s="1"/>
  <c r="AD18" i="1" s="1"/>
  <c r="H39" i="1"/>
  <c r="AC17" i="1" s="1"/>
  <c r="AD17" i="1" s="1"/>
  <c r="H38" i="1"/>
  <c r="AC16" i="1" s="1"/>
  <c r="AD16" i="1" s="1"/>
  <c r="H37" i="1"/>
  <c r="AC15" i="1" s="1"/>
  <c r="AD15" i="1" s="1"/>
  <c r="H36" i="1"/>
  <c r="AC14" i="1" s="1"/>
  <c r="AD14" i="1" s="1"/>
  <c r="H35" i="1"/>
  <c r="AC13" i="1" s="1"/>
  <c r="AD13" i="1" s="1"/>
  <c r="H34" i="1"/>
  <c r="AC12" i="1" s="1"/>
  <c r="AD12" i="1" s="1"/>
  <c r="H33" i="1"/>
  <c r="AC11" i="1" s="1"/>
  <c r="AD11" i="1" s="1"/>
  <c r="H32" i="1"/>
  <c r="I32" i="1" s="1"/>
  <c r="E22" i="1"/>
  <c r="E21" i="1"/>
  <c r="E20" i="1"/>
  <c r="E19" i="1"/>
  <c r="E18" i="1"/>
  <c r="E17" i="1"/>
  <c r="E16" i="1"/>
  <c r="V22" i="2" l="1"/>
  <c r="V23" i="2" s="1"/>
  <c r="V24" i="2" s="1"/>
  <c r="V25" i="2" s="1"/>
  <c r="V26" i="2" s="1"/>
  <c r="V27" i="2" s="1"/>
  <c r="V28" i="2" s="1"/>
  <c r="V29" i="2" s="1"/>
  <c r="V30" i="2" s="1"/>
  <c r="W30" i="2" s="1"/>
  <c r="F45" i="2"/>
  <c r="F44" i="2"/>
  <c r="F42" i="2"/>
  <c r="D8" i="3" s="1"/>
  <c r="F43" i="2"/>
  <c r="M49" i="2"/>
  <c r="E14" i="3" s="1"/>
  <c r="W13" i="2"/>
  <c r="E26" i="1"/>
  <c r="AC10" i="1"/>
  <c r="AD10" i="1" s="1"/>
  <c r="AC29" i="1"/>
  <c r="W15" i="2"/>
  <c r="AD28" i="1"/>
  <c r="I33" i="1"/>
  <c r="I34" i="1"/>
  <c r="I35" i="1" s="1"/>
  <c r="I36" i="1" s="1"/>
  <c r="I37" i="1" s="1"/>
  <c r="I38" i="1" s="1"/>
  <c r="I39" i="1" s="1"/>
  <c r="I40" i="1" s="1"/>
  <c r="I41" i="1" s="1"/>
  <c r="I43" i="1" s="1"/>
  <c r="I44" i="1" s="1"/>
  <c r="D26" i="1"/>
  <c r="C26" i="1"/>
  <c r="T44" i="2" l="1"/>
  <c r="T45" i="2"/>
  <c r="T42" i="2"/>
  <c r="T43" i="2"/>
  <c r="F47" i="2"/>
  <c r="D9" i="3"/>
  <c r="W49" i="2"/>
  <c r="G14" i="3" s="1"/>
  <c r="M42" i="2"/>
  <c r="E8" i="3" s="1"/>
  <c r="M45" i="2"/>
  <c r="E11" i="3" s="1"/>
  <c r="W16" i="2"/>
  <c r="M44" i="2"/>
  <c r="E10" i="3" s="1"/>
  <c r="M43" i="2"/>
  <c r="E9" i="3" s="1"/>
  <c r="D11" i="3"/>
  <c r="AD29" i="1"/>
  <c r="AE10" i="1"/>
  <c r="T47" i="2" l="1"/>
  <c r="D13" i="3"/>
  <c r="D10" i="3"/>
  <c r="M47" i="2"/>
  <c r="E13" i="3" s="1"/>
  <c r="W17" i="2"/>
  <c r="AF10" i="1"/>
  <c r="AI10" i="1" s="1"/>
  <c r="AE11" i="1"/>
  <c r="W18" i="2" l="1"/>
  <c r="AF11" i="1"/>
  <c r="AI11" i="1" s="1"/>
  <c r="AE12" i="1"/>
  <c r="W19" i="2" l="1"/>
  <c r="AF12" i="1"/>
  <c r="AI12" i="1" s="1"/>
  <c r="AE13" i="1"/>
  <c r="W20" i="2" l="1"/>
  <c r="AF13" i="1"/>
  <c r="AI13" i="1" s="1"/>
  <c r="AE14" i="1"/>
  <c r="W21" i="2" l="1"/>
  <c r="AF14" i="1"/>
  <c r="AI14" i="1" s="1"/>
  <c r="AE15" i="1"/>
  <c r="W22" i="2" l="1"/>
  <c r="AF15" i="1"/>
  <c r="AI15" i="1" s="1"/>
  <c r="AE16" i="1"/>
  <c r="W23" i="2" l="1"/>
  <c r="AF16" i="1"/>
  <c r="AI16" i="1" s="1"/>
  <c r="AE17" i="1"/>
  <c r="W24" i="2" l="1"/>
  <c r="AF17" i="1"/>
  <c r="AI17" i="1" s="1"/>
  <c r="AE18" i="1"/>
  <c r="W25" i="2" l="1"/>
  <c r="F8" i="3"/>
  <c r="F9" i="3"/>
  <c r="AF18" i="1"/>
  <c r="AI18" i="1" s="1"/>
  <c r="AE19" i="1"/>
  <c r="AF19" i="1" s="1"/>
  <c r="W26" i="2" l="1"/>
  <c r="AI19" i="1"/>
  <c r="AH21" i="1"/>
  <c r="AI21" i="1" s="1"/>
  <c r="AH26" i="1"/>
  <c r="AI26" i="1" s="1"/>
  <c r="AH24" i="1"/>
  <c r="AI24" i="1" s="1"/>
  <c r="AH22" i="1"/>
  <c r="AI22" i="1" s="1"/>
  <c r="AH20" i="1"/>
  <c r="AI20" i="1" s="1"/>
  <c r="AH27" i="1"/>
  <c r="AI27" i="1" s="1"/>
  <c r="AH25" i="1"/>
  <c r="AI25" i="1" s="1"/>
  <c r="AH23" i="1"/>
  <c r="AI23" i="1" s="1"/>
  <c r="AH19" i="1"/>
  <c r="AC35" i="1" l="1"/>
  <c r="H11" i="3" s="1"/>
  <c r="AC33" i="1"/>
  <c r="H9" i="3" s="1"/>
  <c r="AC34" i="1"/>
  <c r="H10" i="3" s="1"/>
  <c r="W27" i="2"/>
  <c r="F11" i="3"/>
  <c r="AC40" i="1"/>
  <c r="H18" i="3" s="1"/>
  <c r="AC32" i="1"/>
  <c r="AC38" i="1"/>
  <c r="H16" i="3" s="1"/>
  <c r="AC39" i="1"/>
  <c r="H17" i="3" s="1"/>
  <c r="AC37"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<sst xmlns="http://schemas.openxmlformats.org/spreadsheetml/2006/main" count="191" uniqueCount="144">
  <si>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</si>
  <si>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</si>
  <si>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</si>
  <si>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</si>
  <si>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</si>
  <si>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</si>
  <si>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</si>
  <si>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</si>
  <si>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</si>
  <si>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</si>
  <si>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</si>
  <si>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</si>
  <si>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</si>
  <si>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</si>
  <si>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</si>
  <si>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</si>
  <si>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</si>
  <si>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</si>
  <si>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</si>
  <si>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</si>
  <si>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</si>
  <si>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</si>
  <si>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</si>
  <si>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</si>
  <si>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</si>
  <si>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</si>
  <si>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</si>
  <si>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</si>
  <si>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</si>
  <si>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</si>
  <si>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</si>
  <si>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</si>
  <si>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</si>
  <si>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</si>
  <si>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</si>
  <si>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</si>
  <si>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</si>
  <si>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</si>
  <si>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</si>
  <si>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</si>
  <si>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</si>
  <si>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</si>
  <si>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</si>
  <si>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</si>
  <si>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</si>
  <si>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</si>
  <si>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</si>
  <si>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</si>
  <si>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</si>
  <si>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</si>
  <si>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</si>
  <si>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</si>
  <si>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</si>
  <si>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</si>
  <si>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</si>
  <si>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</si>
  <si>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</si>
  <si>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</si>
  <si>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</si>
  <si>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</si>
  <si>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</si>
  <si>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</si>
  <si>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</si>
  <si>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</si>
  <si>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</si>
  <si>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</si>
  <si>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</si>
  <si>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</si>
  <si>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</si>
  <si>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</si>
  <si>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</si>
  <si>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</si>
  <si>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</si>
  <si>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</si>
  <si>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</si>
  <si>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</si>
  <si>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</si>
  <si>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</si>
  <si>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</si>
  <si>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</si>
  <si>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</si>
  <si>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</si>
  <si>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</si>
  <si>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</si>
  <si>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</si>
  <si>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</si>
  <si>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</si>
  <si>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</si>
  <si>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</si>
  <si>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</si>
  <si>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</si>
  <si>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</si>
  <si>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</si>
  <si>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</si>
  <si>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</si>
  <si>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</si>
  <si>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</si>
  <si>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</si>
  <si>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</si>
  <si>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</si>
  <si>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</si>
  <si>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</si>
  <si>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</si>
  <si>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</si>
  <si>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</si>
  <si>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</si>
  <si>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</si>
  <si>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</si>
  <si>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</si>
  <si>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</si>
  <si>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</si>
  <si>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</si>
  <si>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</si>
  <si>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</si>
  <si>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</si>
  <si>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</si>
  <si>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</si>
  <si>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</si>
  <si>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</si>
  <si>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</si>
  <si>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</si>
  <si>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</si>
  <si>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</si>
  <si>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</si>
  <si>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</si>
  <si>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</si>
  <si>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</si>
  <si>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</si>
  <si>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</si>
  <si>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Susitna</t>
  </si>
  <si>
    <t>RAV</t>
  </si>
  <si>
    <t>DBT</t>
  </si>
  <si>
    <t>Y</t>
  </si>
  <si>
    <t>Main Chan</t>
  </si>
  <si>
    <t>DBT, RAV, MP, RET</t>
  </si>
  <si>
    <t>100" x 1', x3</t>
  </si>
  <si>
    <t>s2</t>
  </si>
  <si>
    <t>View u/s at undisturbed site</t>
  </si>
  <si>
    <t>Bed material at 50' mark</t>
  </si>
  <si>
    <t>View u/s. Hole filled in before leaving</t>
  </si>
  <si>
    <t>Excavated hole</t>
  </si>
  <si>
    <t>Susitna River</t>
  </si>
  <si>
    <t>S2</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</si>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</sst>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0"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
      <sz val="1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91">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2" xfId="0" applyFont="1" applyBorder="1" applyAlignment="1">
      <alignment horizontal="left"/>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0" fontId="19" fillId="5" borderId="2" xfId="0" applyFont="1" applyFill="1" applyBorder="1" applyAlignment="1">
      <alignment horizontal="center" vertical="center"/>
    </xf>
    <xf numFmtId="0" fontId="2" fillId="0" borderId="12" xfId="0" applyFont="1" applyFill="1" applyBorder="1" applyAlignment="1">
      <alignment horizontal="right" vertical="center" wrapText="1"/>
    </xf>
    <xf numFmtId="0" fontId="2" fillId="5" borderId="12" xfId="0" applyFont="1" applyFill="1" applyBorder="1" applyAlignment="1">
      <alignment horizontal="right" vertical="center" wrapText="1"/>
    </xf>
    <xf numFmtId="1" fontId="2" fillId="5" borderId="6" xfId="0" applyNumberFormat="1" applyFont="1" applyFill="1" applyBorder="1" applyAlignment="1">
      <alignment horizontal="right" vertical="center" wrapText="1"/>
    </xf>
    <xf numFmtId="1" fontId="2" fillId="5" borderId="4" xfId="0" applyNumberFormat="1" applyFont="1" applyFill="1" applyBorder="1" applyAlignment="1">
      <alignment horizontal="right" vertical="center" wrapText="1"/>
    </xf>
    <xf numFmtId="1" fontId="2" fillId="5" borderId="12" xfId="0" applyNumberFormat="1" applyFont="1" applyFill="1" applyBorder="1" applyAlignment="1">
      <alignment horizontal="right" vertical="center" wrapText="1"/>
    </xf>
    <xf numFmtId="0" fontId="2" fillId="0" borderId="4" xfId="0" applyFont="1" applyFill="1" applyBorder="1" applyAlignment="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5" borderId="0" xfId="0" applyFill="1" applyAlignment="1">
      <alignment horizontal="center"/>
    </xf>
    <xf numFmtId="164" fontId="2" fillId="5" borderId="4" xfId="0" applyNumberFormat="1" applyFont="1" applyFill="1" applyBorder="1" applyAlignment="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181.4</a:t>
            </a:r>
            <a:endParaRPr lang="en-US"/>
          </a:p>
        </c:rich>
      </c:tx>
      <c:layout>
        <c:manualLayout>
          <c:xMode val="edge"/>
          <c:yMode val="edge"/>
          <c:x val="0.33801603914827555"/>
          <c:y val="2.6315043447238999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c:v>0</c:v>
                </c:pt>
                <c:pt idx="3">
                  <c:v>0</c:v>
                </c:pt>
                <c:pt idx="4">
                  <c:v>0</c:v>
                </c:pt>
                <c:pt idx="5">
                  <c:v>0</c:v>
                </c:pt>
                <c:pt idx="6">
                  <c:v>1</c:v>
                </c:pt>
                <c:pt idx="7">
                  <c:v>3</c:v>
                </c:pt>
                <c:pt idx="8">
                  <c:v>9</c:v>
                </c:pt>
                <c:pt idx="9">
                  <c:v>14</c:v>
                </c:pt>
                <c:pt idx="10">
                  <c:v>31</c:v>
                </c:pt>
                <c:pt idx="11">
                  <c:v>53</c:v>
                </c:pt>
                <c:pt idx="12">
                  <c:v>77</c:v>
                </c:pt>
                <c:pt idx="13">
                  <c:v>99</c:v>
                </c:pt>
                <c:pt idx="14">
                  <c:v>100</c:v>
                </c:pt>
                <c:pt idx="15">
                  <c:v>100</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c:v>0</c:v>
                </c:pt>
                <c:pt idx="3">
                  <c:v>0</c:v>
                </c:pt>
                <c:pt idx="4">
                  <c:v>0</c:v>
                </c:pt>
                <c:pt idx="5">
                  <c:v>1</c:v>
                </c:pt>
                <c:pt idx="6">
                  <c:v>1</c:v>
                </c:pt>
                <c:pt idx="7">
                  <c:v>5</c:v>
                </c:pt>
                <c:pt idx="8">
                  <c:v>12</c:v>
                </c:pt>
                <c:pt idx="9">
                  <c:v>34</c:v>
                </c:pt>
                <c:pt idx="10">
                  <c:v>53</c:v>
                </c:pt>
                <c:pt idx="11">
                  <c:v>71</c:v>
                </c:pt>
                <c:pt idx="12">
                  <c:v>91</c:v>
                </c:pt>
                <c:pt idx="13">
                  <c:v>100</c:v>
                </c:pt>
                <c:pt idx="14">
                  <c:v>100</c:v>
                </c:pt>
                <c:pt idx="15">
                  <c:v>100</c:v>
                </c:pt>
                <c:pt idx="16">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0</c:formatCode>
                <c:ptCount val="17"/>
                <c:pt idx="0">
                  <c:v>0</c:v>
                </c:pt>
                <c:pt idx="1">
                  <c:v>0</c:v>
                </c:pt>
                <c:pt idx="2">
                  <c:v>0</c:v>
                </c:pt>
                <c:pt idx="3">
                  <c:v>0</c:v>
                </c:pt>
                <c:pt idx="4">
                  <c:v>0</c:v>
                </c:pt>
                <c:pt idx="5" formatCode="0.0">
                  <c:v>0</c:v>
                </c:pt>
                <c:pt idx="6" formatCode="0.0">
                  <c:v>0</c:v>
                </c:pt>
                <c:pt idx="7" formatCode="0.0">
                  <c:v>4.9504950495049505</c:v>
                </c:pt>
                <c:pt idx="8" formatCode="0.0">
                  <c:v>18.811881188118811</c:v>
                </c:pt>
                <c:pt idx="9" formatCode="0.0">
                  <c:v>36.633663366336634</c:v>
                </c:pt>
                <c:pt idx="10" formatCode="0.0">
                  <c:v>61.386138613861391</c:v>
                </c:pt>
                <c:pt idx="11" formatCode="0.0">
                  <c:v>84.158415841584159</c:v>
                </c:pt>
                <c:pt idx="12" formatCode="0.0">
                  <c:v>98.019801980198025</c:v>
                </c:pt>
                <c:pt idx="13" formatCode="0.0">
                  <c:v>100</c:v>
                </c:pt>
                <c:pt idx="14">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0</c:v>
                </c:pt>
                <c:pt idx="3">
                  <c:v>0</c:v>
                </c:pt>
                <c:pt idx="4">
                  <c:v>0</c:v>
                </c:pt>
                <c:pt idx="5">
                  <c:v>0.33333333333333331</c:v>
                </c:pt>
                <c:pt idx="6">
                  <c:v>0.66666666666666663</c:v>
                </c:pt>
                <c:pt idx="7">
                  <c:v>4.3168316831683171</c:v>
                </c:pt>
                <c:pt idx="8">
                  <c:v>13.27062706270627</c:v>
                </c:pt>
                <c:pt idx="9">
                  <c:v>28.21122112211221</c:v>
                </c:pt>
                <c:pt idx="10">
                  <c:v>48.462046204620464</c:v>
                </c:pt>
                <c:pt idx="11">
                  <c:v>69.386138613861377</c:v>
                </c:pt>
                <c:pt idx="12">
                  <c:v>88.673267326732685</c:v>
                </c:pt>
                <c:pt idx="13">
                  <c:v>99.666666666666671</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SubS!$AB$10:$AB$27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SubS!$AI$10:$AI$27</c:f>
              <c:numCache>
                <c:formatCode>_(* #,##0.00_);_(* \(#,##0.00\);_(* "-"??_);_(@_)</c:formatCode>
                <c:ptCount val="18"/>
                <c:pt idx="0">
                  <c:v>100</c:v>
                </c:pt>
                <c:pt idx="1">
                  <c:v>100</c:v>
                </c:pt>
                <c:pt idx="2">
                  <c:v>100</c:v>
                </c:pt>
                <c:pt idx="3">
                  <c:v>100</c:v>
                </c:pt>
                <c:pt idx="4">
                  <c:v>88.913005128537137</c:v>
                </c:pt>
                <c:pt idx="5">
                  <c:v>72.417123134351769</c:v>
                </c:pt>
                <c:pt idx="6">
                  <c:v>57.463141089177782</c:v>
                </c:pt>
                <c:pt idx="7">
                  <c:v>46.718790650828566</c:v>
                </c:pt>
                <c:pt idx="8">
                  <c:v>37.736611582778082</c:v>
                </c:pt>
                <c:pt idx="9">
                  <c:v>30.957146727601003</c:v>
                </c:pt>
                <c:pt idx="10">
                  <c:v>23.217860045700753</c:v>
                </c:pt>
                <c:pt idx="11">
                  <c:v>17.955145102008583</c:v>
                </c:pt>
                <c:pt idx="12">
                  <c:v>15.169001896524492</c:v>
                </c:pt>
                <c:pt idx="13">
                  <c:v>12.073287223764392</c:v>
                </c:pt>
                <c:pt idx="14">
                  <c:v>8.9775725510042914</c:v>
                </c:pt>
                <c:pt idx="15">
                  <c:v>4.0244290745881299</c:v>
                </c:pt>
                <c:pt idx="16">
                  <c:v>1.5478573363800503</c:v>
                </c:pt>
                <c:pt idx="17">
                  <c:v>0.77392866819002515</c:v>
                </c:pt>
              </c:numCache>
            </c:numRef>
          </c:yVal>
          <c:smooth val="0"/>
        </c:ser>
        <c:dLbls>
          <c:showLegendKey val="0"/>
          <c:showVal val="0"/>
          <c:showCatName val="0"/>
          <c:showSerName val="0"/>
          <c:showPercent val="0"/>
          <c:showBubbleSize val="0"/>
        </c:dLbls>
        <c:axId val="416704640"/>
        <c:axId val="416705032"/>
      </c:scatterChart>
      <c:valAx>
        <c:axId val="41670464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6705032"/>
        <c:crosses val="autoZero"/>
        <c:crossBetween val="midCat"/>
        <c:majorUnit val="10"/>
        <c:minorUnit val="10"/>
      </c:valAx>
      <c:valAx>
        <c:axId val="41670503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670464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794658700232894"/>
          <c:h val="0.1837278304410977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118110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topLeftCell="I10" workbookViewId="0">
      <selection activeCell="H49" sqref="H49"/>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6.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7" width="8.85546875" style="1"/>
    <col min="28" max="30" width="9.140625" style="1"/>
    <col min="31" max="31" width="11.140625" style="1" customWidth="1"/>
    <col min="32" max="34" width="9.140625" style="1"/>
    <col min="35" max="35" width="9.42578125" style="1" customWidth="1"/>
    <col min="36" max="16384" width="8.85546875" style="1"/>
  </cols>
  <sheetData>
    <row r="1" spans="1:36" ht="22.9" x14ac:dyDescent="0.4">
      <c r="AB1" s="159" t="s">
        <v>24</v>
      </c>
      <c r="AC1" s="159"/>
      <c r="AD1" s="159"/>
      <c r="AE1" s="159"/>
      <c r="AF1" s="159"/>
      <c r="AG1" s="159"/>
      <c r="AH1" s="159"/>
      <c r="AI1" s="159"/>
      <c r="AJ1"/>
    </row>
    <row r="2" spans="1:36" ht="22.9" x14ac:dyDescent="0.4">
      <c r="AB2" s="136"/>
      <c r="AC2" s="136"/>
      <c r="AD2" s="136"/>
      <c r="AE2" s="136"/>
      <c r="AF2" s="136"/>
      <c r="AG2" s="136"/>
      <c r="AH2" s="136"/>
      <c r="AI2" s="136"/>
      <c r="AJ2"/>
    </row>
    <row r="3" spans="1:36" ht="22.9" x14ac:dyDescent="0.4">
      <c r="B3" s="159" t="s">
        <v>106</v>
      </c>
      <c r="C3" s="159"/>
      <c r="D3" s="159"/>
      <c r="E3" s="159"/>
      <c r="F3" s="159"/>
      <c r="G3" s="159"/>
      <c r="H3" s="159"/>
      <c r="I3" s="159"/>
      <c r="J3" s="159"/>
      <c r="AB3" s="1" t="s">
        <v>25</v>
      </c>
      <c r="AD3" s="49">
        <f>+AC28</f>
        <v>144.39999999999998</v>
      </c>
      <c r="AE3" s="1" t="s">
        <v>26</v>
      </c>
      <c r="AJ3"/>
    </row>
    <row r="4" spans="1:36" ht="14.45" x14ac:dyDescent="0.3">
      <c r="B4" s="6" t="s">
        <v>27</v>
      </c>
      <c r="C4" s="6" t="s">
        <v>141</v>
      </c>
      <c r="D4" s="20"/>
      <c r="E4" s="6"/>
      <c r="F4" s="6" t="s">
        <v>2</v>
      </c>
      <c r="G4" s="6" t="s">
        <v>134</v>
      </c>
      <c r="H4" s="6"/>
      <c r="I4" s="6"/>
      <c r="J4" s="8"/>
      <c r="AB4" s="1" t="s">
        <v>28</v>
      </c>
      <c r="AD4" s="50">
        <v>8622</v>
      </c>
      <c r="AE4" s="1" t="s">
        <v>29</v>
      </c>
      <c r="AF4" s="51">
        <f>+AD4*0.0022046</f>
        <v>19.0080612</v>
      </c>
      <c r="AG4" s="1" t="s">
        <v>26</v>
      </c>
      <c r="AJ4"/>
    </row>
    <row r="5" spans="1:36" ht="14.45" x14ac:dyDescent="0.3">
      <c r="B5" s="9" t="s">
        <v>5</v>
      </c>
      <c r="C5" s="10">
        <v>41831.625</v>
      </c>
      <c r="D5" s="52"/>
      <c r="E5" s="9"/>
      <c r="F5" s="9" t="s">
        <v>107</v>
      </c>
      <c r="G5" s="9">
        <v>3217328</v>
      </c>
      <c r="H5" s="9"/>
      <c r="I5" s="9"/>
      <c r="J5" s="8"/>
      <c r="AB5" s="1" t="s">
        <v>30</v>
      </c>
      <c r="AD5" s="92">
        <f>1-AF4/H45</f>
        <v>0.12405247926267282</v>
      </c>
      <c r="AJ5"/>
    </row>
    <row r="6" spans="1:36" ht="15" thickBot="1" x14ac:dyDescent="0.35">
      <c r="B6" s="9" t="s">
        <v>7</v>
      </c>
      <c r="C6" s="9" t="s">
        <v>131</v>
      </c>
      <c r="D6" s="16"/>
      <c r="E6" s="9"/>
      <c r="F6" s="9" t="s">
        <v>108</v>
      </c>
      <c r="G6" s="138">
        <v>1861210.8</v>
      </c>
      <c r="H6" s="9"/>
      <c r="I6" s="9"/>
      <c r="J6" s="8"/>
      <c r="AD6" s="53"/>
      <c r="AJ6"/>
    </row>
    <row r="7" spans="1:36" ht="14.45" x14ac:dyDescent="0.3">
      <c r="B7" s="9" t="s">
        <v>118</v>
      </c>
      <c r="C7" s="9">
        <v>181.4</v>
      </c>
      <c r="D7" s="9"/>
      <c r="E7" s="9"/>
      <c r="F7" s="14" t="s">
        <v>31</v>
      </c>
      <c r="G7" s="9"/>
      <c r="H7" s="9"/>
      <c r="I7" s="9"/>
      <c r="J7" s="8"/>
      <c r="AC7" s="160" t="s">
        <v>32</v>
      </c>
      <c r="AD7" s="161"/>
      <c r="AE7" s="161"/>
      <c r="AF7" s="162"/>
      <c r="AJ7"/>
    </row>
    <row r="8" spans="1:36" ht="14.45" x14ac:dyDescent="0.3">
      <c r="B8" s="9" t="s">
        <v>109</v>
      </c>
      <c r="C8" s="9" t="s">
        <v>142</v>
      </c>
      <c r="D8" s="144"/>
      <c r="E8" s="9"/>
      <c r="F8" s="19"/>
      <c r="G8" s="9"/>
      <c r="H8" s="9"/>
      <c r="I8" s="9"/>
      <c r="J8" s="8"/>
      <c r="AC8" s="17"/>
      <c r="AD8" s="17"/>
      <c r="AE8" s="17"/>
      <c r="AF8" s="17"/>
      <c r="AJ8"/>
    </row>
    <row r="9" spans="1:36" ht="42" customHeight="1" x14ac:dyDescent="0.3">
      <c r="B9" s="128" t="s">
        <v>120</v>
      </c>
      <c r="C9" s="148" t="s">
        <v>121</v>
      </c>
      <c r="D9" s="144" t="s">
        <v>122</v>
      </c>
      <c r="E9" s="144" t="s">
        <v>123</v>
      </c>
      <c r="F9" s="145" t="s">
        <v>124</v>
      </c>
      <c r="G9" s="9"/>
      <c r="H9" s="9"/>
      <c r="I9" s="9"/>
      <c r="J9" s="8"/>
      <c r="AC9" s="54" t="s">
        <v>33</v>
      </c>
      <c r="AD9" s="54" t="s">
        <v>34</v>
      </c>
      <c r="AE9" s="55" t="s">
        <v>35</v>
      </c>
      <c r="AF9" s="55" t="s">
        <v>36</v>
      </c>
      <c r="AG9" s="55" t="s">
        <v>37</v>
      </c>
      <c r="AH9" s="55" t="s">
        <v>38</v>
      </c>
      <c r="AI9" s="55" t="s">
        <v>39</v>
      </c>
      <c r="AJ9"/>
    </row>
    <row r="10" spans="1:36" ht="14.45" x14ac:dyDescent="0.3">
      <c r="B10" s="9"/>
      <c r="C10" s="9"/>
      <c r="D10" s="9"/>
      <c r="E10" s="9"/>
      <c r="G10" s="9"/>
      <c r="H10" s="9"/>
      <c r="I10" s="9"/>
      <c r="J10" s="8"/>
      <c r="AB10" s="93">
        <v>360</v>
      </c>
      <c r="AC10" s="56">
        <f t="shared" ref="AC10:AC19" si="0">+H32</f>
        <v>0</v>
      </c>
      <c r="AD10" s="56">
        <f>+AC10</f>
        <v>0</v>
      </c>
      <c r="AE10" s="56">
        <f>+AD10</f>
        <v>0</v>
      </c>
      <c r="AF10" s="57">
        <f t="shared" ref="AF10:AF19" si="1">1-(AE10/AD$29)</f>
        <v>1</v>
      </c>
      <c r="AG10" s="58"/>
      <c r="AH10" s="58"/>
      <c r="AI10" s="59">
        <f t="shared" ref="AI10:AI19" si="2">+AF10*100</f>
        <v>100</v>
      </c>
      <c r="AJ10"/>
    </row>
    <row r="11" spans="1:36" ht="15" thickBot="1" x14ac:dyDescent="0.35">
      <c r="G11" s="9"/>
      <c r="H11" s="9"/>
      <c r="I11" s="9"/>
      <c r="J11" s="8"/>
      <c r="AB11" s="93">
        <v>256</v>
      </c>
      <c r="AC11" s="56">
        <f t="shared" si="0"/>
        <v>0</v>
      </c>
      <c r="AD11" s="56">
        <f t="shared" ref="AD11:AD19" si="3">+AC11</f>
        <v>0</v>
      </c>
      <c r="AE11" s="60">
        <f t="shared" ref="AE11:AE19" si="4">+AD11+AE10</f>
        <v>0</v>
      </c>
      <c r="AF11" s="57">
        <f t="shared" si="1"/>
        <v>1</v>
      </c>
      <c r="AG11" s="58"/>
      <c r="AH11" s="58"/>
      <c r="AI11" s="59">
        <f t="shared" si="2"/>
        <v>100</v>
      </c>
      <c r="AJ11"/>
    </row>
    <row r="12" spans="1:36" ht="18" thickBot="1" x14ac:dyDescent="0.35">
      <c r="B12" s="163" t="s">
        <v>40</v>
      </c>
      <c r="C12" s="164"/>
      <c r="D12" s="164"/>
      <c r="E12" s="165"/>
      <c r="G12" s="12"/>
      <c r="H12" s="12"/>
      <c r="I12" s="12"/>
      <c r="AB12" s="93">
        <v>180</v>
      </c>
      <c r="AC12" s="56">
        <f t="shared" si="0"/>
        <v>0</v>
      </c>
      <c r="AD12" s="56">
        <f t="shared" si="3"/>
        <v>0</v>
      </c>
      <c r="AE12" s="60">
        <f t="shared" si="4"/>
        <v>0</v>
      </c>
      <c r="AF12" s="57">
        <f t="shared" si="1"/>
        <v>1</v>
      </c>
      <c r="AG12" s="58"/>
      <c r="AH12" s="58"/>
      <c r="AI12" s="59">
        <f t="shared" si="2"/>
        <v>100</v>
      </c>
      <c r="AJ12"/>
    </row>
    <row r="13" spans="1:36" ht="14.45" x14ac:dyDescent="0.3">
      <c r="B13" s="61" t="s">
        <v>41</v>
      </c>
      <c r="C13" s="61" t="s">
        <v>42</v>
      </c>
      <c r="D13" s="61" t="s">
        <v>43</v>
      </c>
      <c r="E13" s="61" t="s">
        <v>44</v>
      </c>
      <c r="G13" s="129"/>
      <c r="H13" s="6"/>
      <c r="I13" s="6"/>
      <c r="AB13" s="93">
        <v>128</v>
      </c>
      <c r="AC13" s="56">
        <f t="shared" si="0"/>
        <v>0</v>
      </c>
      <c r="AD13" s="56">
        <f t="shared" si="3"/>
        <v>0</v>
      </c>
      <c r="AE13" s="60">
        <f t="shared" si="4"/>
        <v>0</v>
      </c>
      <c r="AF13" s="57">
        <f>1-(AE13/AD$29)</f>
        <v>1</v>
      </c>
      <c r="AG13" s="58"/>
      <c r="AH13" s="58"/>
      <c r="AI13" s="59">
        <f t="shared" si="2"/>
        <v>100</v>
      </c>
      <c r="AJ13"/>
    </row>
    <row r="14" spans="1:36" ht="27.6" x14ac:dyDescent="0.3">
      <c r="B14" s="62" t="s">
        <v>45</v>
      </c>
      <c r="C14" s="63" t="s">
        <v>46</v>
      </c>
      <c r="D14" s="63" t="s">
        <v>47</v>
      </c>
      <c r="E14" s="63" t="s">
        <v>48</v>
      </c>
      <c r="F14" s="1" t="s">
        <v>110</v>
      </c>
      <c r="G14" s="130"/>
      <c r="H14" s="64"/>
      <c r="I14" s="9"/>
      <c r="AB14" s="94">
        <v>90</v>
      </c>
      <c r="AC14" s="56">
        <f t="shared" si="0"/>
        <v>45.3</v>
      </c>
      <c r="AD14" s="56">
        <f t="shared" si="3"/>
        <v>45.3</v>
      </c>
      <c r="AE14" s="60">
        <f t="shared" si="4"/>
        <v>45.3</v>
      </c>
      <c r="AF14" s="57">
        <f t="shared" si="1"/>
        <v>0.88913005128537137</v>
      </c>
      <c r="AG14" s="58"/>
      <c r="AH14" s="58"/>
      <c r="AI14" s="59">
        <f t="shared" si="2"/>
        <v>88.913005128537137</v>
      </c>
      <c r="AJ14"/>
    </row>
    <row r="15" spans="1:36" ht="14.45" x14ac:dyDescent="0.3">
      <c r="A15" s="67"/>
      <c r="B15" s="62"/>
      <c r="C15" s="63"/>
      <c r="D15" s="63"/>
      <c r="E15" s="65" t="s">
        <v>49</v>
      </c>
      <c r="G15" s="21"/>
      <c r="H15" s="8"/>
      <c r="I15" s="8"/>
      <c r="AB15" s="94">
        <v>64</v>
      </c>
      <c r="AC15" s="56">
        <f t="shared" si="0"/>
        <v>67.399999999999991</v>
      </c>
      <c r="AD15" s="56">
        <f t="shared" si="3"/>
        <v>67.399999999999991</v>
      </c>
      <c r="AE15" s="60">
        <f t="shared" si="4"/>
        <v>112.69999999999999</v>
      </c>
      <c r="AF15" s="57">
        <f t="shared" si="1"/>
        <v>0.72417123134351769</v>
      </c>
      <c r="AG15" s="58"/>
      <c r="AH15" s="58"/>
      <c r="AI15" s="59">
        <f t="shared" si="2"/>
        <v>72.417123134351769</v>
      </c>
      <c r="AJ15"/>
    </row>
    <row r="16" spans="1:36" ht="14.45" x14ac:dyDescent="0.3">
      <c r="A16" s="67"/>
      <c r="B16" s="66">
        <v>1</v>
      </c>
      <c r="C16" s="67">
        <v>1.7</v>
      </c>
      <c r="D16" s="67">
        <v>52.2</v>
      </c>
      <c r="E16" s="106">
        <f t="shared" ref="E16:E25" si="5">D16-C16</f>
        <v>50.5</v>
      </c>
      <c r="G16" s="131" t="s">
        <v>111</v>
      </c>
      <c r="H16" s="132"/>
      <c r="I16" s="8"/>
      <c r="AB16" s="93">
        <v>45</v>
      </c>
      <c r="AC16" s="56">
        <f t="shared" si="0"/>
        <v>61.099999999999994</v>
      </c>
      <c r="AD16" s="56">
        <f t="shared" si="3"/>
        <v>61.099999999999994</v>
      </c>
      <c r="AE16" s="60">
        <f t="shared" si="4"/>
        <v>173.79999999999998</v>
      </c>
      <c r="AF16" s="57">
        <f t="shared" si="1"/>
        <v>0.57463141089177783</v>
      </c>
      <c r="AG16" s="58"/>
      <c r="AH16" s="58"/>
      <c r="AI16" s="59">
        <f t="shared" si="2"/>
        <v>57.463141089177782</v>
      </c>
      <c r="AJ16"/>
    </row>
    <row r="17" spans="1:36" ht="14.45" x14ac:dyDescent="0.3">
      <c r="A17" s="67"/>
      <c r="B17" s="66">
        <v>2</v>
      </c>
      <c r="C17" s="67">
        <v>1.7</v>
      </c>
      <c r="D17" s="67">
        <v>52.7</v>
      </c>
      <c r="E17" s="106">
        <f t="shared" si="5"/>
        <v>51</v>
      </c>
      <c r="G17" s="133" t="s">
        <v>112</v>
      </c>
      <c r="H17" s="8"/>
      <c r="I17" s="8"/>
      <c r="K17" s="8"/>
      <c r="L17" s="8"/>
      <c r="M17" s="8"/>
      <c r="N17" s="8"/>
      <c r="AB17" s="93">
        <v>32</v>
      </c>
      <c r="AC17" s="56">
        <f t="shared" si="0"/>
        <v>43.9</v>
      </c>
      <c r="AD17" s="56">
        <f t="shared" si="3"/>
        <v>43.9</v>
      </c>
      <c r="AE17" s="60">
        <f t="shared" si="4"/>
        <v>217.7</v>
      </c>
      <c r="AF17" s="57">
        <f t="shared" si="1"/>
        <v>0.46718790650828568</v>
      </c>
      <c r="AG17" s="58"/>
      <c r="AH17" s="58"/>
      <c r="AI17" s="59">
        <f t="shared" si="2"/>
        <v>46.718790650828566</v>
      </c>
      <c r="AJ17"/>
    </row>
    <row r="18" spans="1:36" ht="14.45" x14ac:dyDescent="0.3">
      <c r="A18" s="67"/>
      <c r="B18" s="66">
        <v>3</v>
      </c>
      <c r="C18" s="67">
        <v>1.7</v>
      </c>
      <c r="D18" s="67">
        <v>38.4</v>
      </c>
      <c r="E18" s="106">
        <f t="shared" si="5"/>
        <v>36.699999999999996</v>
      </c>
      <c r="G18" s="134" t="s">
        <v>113</v>
      </c>
      <c r="H18" s="69"/>
      <c r="I18" s="69"/>
      <c r="J18" s="8"/>
      <c r="K18" s="8"/>
      <c r="L18" s="8"/>
      <c r="M18" s="8"/>
      <c r="N18" s="8"/>
      <c r="AB18" s="93">
        <v>22.5</v>
      </c>
      <c r="AC18" s="56">
        <f t="shared" si="0"/>
        <v>36.699999999999996</v>
      </c>
      <c r="AD18" s="56">
        <f t="shared" si="3"/>
        <v>36.699999999999996</v>
      </c>
      <c r="AE18" s="60">
        <f t="shared" si="4"/>
        <v>254.39999999999998</v>
      </c>
      <c r="AF18" s="57">
        <f t="shared" si="1"/>
        <v>0.37736611582778079</v>
      </c>
      <c r="AG18" s="58"/>
      <c r="AH18" s="58"/>
      <c r="AI18" s="59">
        <f t="shared" si="2"/>
        <v>37.736611582778082</v>
      </c>
      <c r="AJ18"/>
    </row>
    <row r="19" spans="1:36" ht="14.45" x14ac:dyDescent="0.3">
      <c r="A19" s="67"/>
      <c r="B19" s="66">
        <v>4</v>
      </c>
      <c r="C19" s="67">
        <v>1.7</v>
      </c>
      <c r="D19" s="67">
        <v>50.2</v>
      </c>
      <c r="E19" s="106">
        <f t="shared" si="5"/>
        <v>48.5</v>
      </c>
      <c r="F19" s="13" t="s">
        <v>50</v>
      </c>
      <c r="G19" s="42"/>
      <c r="H19" s="69"/>
      <c r="I19" s="69"/>
      <c r="J19" s="69"/>
      <c r="K19" s="69"/>
      <c r="L19" s="69"/>
      <c r="M19" s="69"/>
      <c r="N19" s="69"/>
      <c r="AB19" s="93">
        <v>16</v>
      </c>
      <c r="AC19" s="60">
        <f t="shared" si="0"/>
        <v>27.7</v>
      </c>
      <c r="AD19" s="56">
        <f t="shared" si="3"/>
        <v>27.7</v>
      </c>
      <c r="AE19" s="60">
        <f t="shared" si="4"/>
        <v>282.09999999999997</v>
      </c>
      <c r="AF19" s="57">
        <f t="shared" si="1"/>
        <v>0.30957146727601004</v>
      </c>
      <c r="AG19" s="70">
        <v>100</v>
      </c>
      <c r="AH19" s="57">
        <f t="shared" ref="AH19:AH27" si="6">+AG19/100*AF$19</f>
        <v>0.30957146727601004</v>
      </c>
      <c r="AI19" s="59">
        <f t="shared" si="2"/>
        <v>30.957146727601003</v>
      </c>
      <c r="AJ19"/>
    </row>
    <row r="20" spans="1:36" ht="14.45" x14ac:dyDescent="0.3">
      <c r="A20" s="67"/>
      <c r="B20" s="66">
        <v>5</v>
      </c>
      <c r="C20" s="67">
        <v>1.7</v>
      </c>
      <c r="D20" s="67">
        <v>51.4</v>
      </c>
      <c r="E20" s="106">
        <f t="shared" si="5"/>
        <v>49.699999999999996</v>
      </c>
      <c r="G20" s="17"/>
      <c r="H20" s="32"/>
      <c r="I20" s="32"/>
      <c r="J20" s="32"/>
      <c r="K20" s="72"/>
      <c r="L20" s="72"/>
      <c r="M20" s="72"/>
      <c r="N20" s="72"/>
      <c r="AB20" s="93">
        <v>8</v>
      </c>
      <c r="AC20" s="58"/>
      <c r="AD20" s="58"/>
      <c r="AE20" s="58"/>
      <c r="AF20" s="58"/>
      <c r="AG20" s="70">
        <v>75</v>
      </c>
      <c r="AH20" s="57">
        <f t="shared" si="6"/>
        <v>0.23217860045700753</v>
      </c>
      <c r="AI20" s="59">
        <f t="shared" ref="AI20:AI27" si="7">+AH20*100</f>
        <v>23.217860045700753</v>
      </c>
      <c r="AJ20"/>
    </row>
    <row r="21" spans="1:36" ht="14.45" x14ac:dyDescent="0.3">
      <c r="A21" s="67"/>
      <c r="B21" s="66">
        <v>6</v>
      </c>
      <c r="C21" s="67">
        <v>1.7</v>
      </c>
      <c r="D21" s="67">
        <v>51.8</v>
      </c>
      <c r="E21" s="106">
        <f t="shared" si="5"/>
        <v>50.099999999999994</v>
      </c>
      <c r="G21" s="17"/>
      <c r="H21" s="32"/>
      <c r="I21" s="32"/>
      <c r="J21" s="32"/>
      <c r="K21" s="72"/>
      <c r="L21" s="72"/>
      <c r="M21" s="72"/>
      <c r="N21" s="72"/>
      <c r="AB21" s="93">
        <v>4</v>
      </c>
      <c r="AC21" s="58"/>
      <c r="AD21" s="58"/>
      <c r="AE21" s="58"/>
      <c r="AF21" s="58"/>
      <c r="AG21" s="70">
        <v>58</v>
      </c>
      <c r="AH21" s="57">
        <f t="shared" si="6"/>
        <v>0.17955145102008582</v>
      </c>
      <c r="AI21" s="59">
        <f t="shared" si="7"/>
        <v>17.955145102008583</v>
      </c>
      <c r="AJ21"/>
    </row>
    <row r="22" spans="1:36" ht="14.45" x14ac:dyDescent="0.3">
      <c r="A22" s="67"/>
      <c r="B22" s="66">
        <v>7</v>
      </c>
      <c r="C22" s="67">
        <v>1.7</v>
      </c>
      <c r="D22" s="67">
        <v>52.8</v>
      </c>
      <c r="E22" s="107">
        <f t="shared" si="5"/>
        <v>51.099999999999994</v>
      </c>
      <c r="G22" s="17"/>
      <c r="H22" s="32"/>
      <c r="I22" s="32"/>
      <c r="J22" s="32"/>
      <c r="K22" s="72"/>
      <c r="L22" s="72"/>
      <c r="M22" s="72"/>
      <c r="N22" s="72"/>
      <c r="AB22" s="93">
        <v>2</v>
      </c>
      <c r="AC22" s="58"/>
      <c r="AD22" s="58"/>
      <c r="AE22" s="58"/>
      <c r="AF22" s="58"/>
      <c r="AG22" s="70">
        <v>49</v>
      </c>
      <c r="AH22" s="57">
        <f t="shared" si="6"/>
        <v>0.15169001896524492</v>
      </c>
      <c r="AI22" s="59">
        <f t="shared" si="7"/>
        <v>15.169001896524492</v>
      </c>
      <c r="AJ22"/>
    </row>
    <row r="23" spans="1:36" ht="14.45" x14ac:dyDescent="0.3">
      <c r="A23" s="67"/>
      <c r="B23" s="66">
        <v>8</v>
      </c>
      <c r="C23" s="67">
        <v>1.7</v>
      </c>
      <c r="D23" s="67">
        <v>47</v>
      </c>
      <c r="E23" s="107">
        <f t="shared" si="5"/>
        <v>45.3</v>
      </c>
      <c r="G23" s="17"/>
      <c r="H23" s="32"/>
      <c r="I23" s="32"/>
      <c r="J23" s="32"/>
      <c r="K23" s="72"/>
      <c r="L23" s="72"/>
      <c r="M23" s="72"/>
      <c r="N23" s="72"/>
      <c r="AB23" s="93">
        <v>1</v>
      </c>
      <c r="AC23" s="58"/>
      <c r="AD23" s="58"/>
      <c r="AE23" s="58"/>
      <c r="AF23" s="58"/>
      <c r="AG23" s="70">
        <v>39</v>
      </c>
      <c r="AH23" s="57">
        <f t="shared" si="6"/>
        <v>0.12073287223764392</v>
      </c>
      <c r="AI23" s="59">
        <f t="shared" si="7"/>
        <v>12.073287223764392</v>
      </c>
      <c r="AJ23"/>
    </row>
    <row r="24" spans="1:36" ht="14.45" x14ac:dyDescent="0.3">
      <c r="B24" s="66">
        <v>9</v>
      </c>
      <c r="C24" s="67">
        <v>1.7</v>
      </c>
      <c r="D24" s="67">
        <v>47.1</v>
      </c>
      <c r="E24" s="107">
        <f t="shared" si="5"/>
        <v>45.4</v>
      </c>
      <c r="G24" s="17"/>
      <c r="H24" s="32"/>
      <c r="I24" s="32"/>
      <c r="J24" s="32"/>
      <c r="K24" s="72"/>
      <c r="L24" s="72"/>
      <c r="M24" s="72"/>
      <c r="N24" s="72"/>
      <c r="AB24" s="93">
        <v>0.5</v>
      </c>
      <c r="AC24" s="58"/>
      <c r="AD24" s="58"/>
      <c r="AE24" s="58"/>
      <c r="AF24" s="58"/>
      <c r="AG24" s="70">
        <v>29</v>
      </c>
      <c r="AH24" s="57">
        <f t="shared" si="6"/>
        <v>8.9775725510042911E-2</v>
      </c>
      <c r="AI24" s="59">
        <f t="shared" si="7"/>
        <v>8.9775725510042914</v>
      </c>
      <c r="AJ24"/>
    </row>
    <row r="25" spans="1:36" ht="14.45" x14ac:dyDescent="0.3">
      <c r="B25" s="66">
        <v>10</v>
      </c>
      <c r="C25" s="67"/>
      <c r="D25" s="67"/>
      <c r="E25" s="107">
        <f t="shared" si="5"/>
        <v>0</v>
      </c>
      <c r="G25" s="17"/>
      <c r="H25" s="32"/>
      <c r="I25" s="32"/>
      <c r="J25" s="32"/>
      <c r="K25" s="72"/>
      <c r="L25" s="72"/>
      <c r="M25" s="72"/>
      <c r="N25" s="72"/>
      <c r="AB25" s="95">
        <v>0.25</v>
      </c>
      <c r="AC25" s="58"/>
      <c r="AD25" s="58"/>
      <c r="AE25" s="58"/>
      <c r="AF25" s="58"/>
      <c r="AG25" s="70">
        <v>13</v>
      </c>
      <c r="AH25" s="57">
        <f t="shared" si="6"/>
        <v>4.0244290745881303E-2</v>
      </c>
      <c r="AI25" s="59">
        <f t="shared" si="7"/>
        <v>4.0244290745881299</v>
      </c>
      <c r="AJ25"/>
    </row>
    <row r="26" spans="1:36" ht="14.45" x14ac:dyDescent="0.3">
      <c r="B26" s="66" t="s">
        <v>51</v>
      </c>
      <c r="C26" s="67">
        <f>SUM(C16:C25)</f>
        <v>15.299999999999997</v>
      </c>
      <c r="D26" s="67">
        <f>SUM(D16:D25)</f>
        <v>443.6</v>
      </c>
      <c r="E26" s="106">
        <f>SUM(E16:E25)</f>
        <v>428.3</v>
      </c>
      <c r="G26" s="17"/>
      <c r="H26" s="32"/>
      <c r="I26" s="32"/>
      <c r="J26" s="32"/>
      <c r="K26" s="72"/>
      <c r="L26" s="72"/>
      <c r="M26" s="72"/>
      <c r="N26" s="72"/>
      <c r="AB26" s="95">
        <v>0.125</v>
      </c>
      <c r="AC26" s="58"/>
      <c r="AD26" s="58"/>
      <c r="AE26" s="58"/>
      <c r="AF26" s="58"/>
      <c r="AG26" s="70">
        <v>5</v>
      </c>
      <c r="AH26" s="96">
        <f t="shared" si="6"/>
        <v>1.5478573363800503E-2</v>
      </c>
      <c r="AI26" s="59">
        <f t="shared" si="7"/>
        <v>1.5478573363800503</v>
      </c>
      <c r="AJ26"/>
    </row>
    <row r="27" spans="1:36" ht="14.45" x14ac:dyDescent="0.3">
      <c r="B27" s="17"/>
      <c r="C27" s="8"/>
      <c r="D27" s="8"/>
      <c r="E27" s="8"/>
      <c r="G27" s="110"/>
      <c r="H27" s="111"/>
      <c r="I27" s="111"/>
      <c r="J27" s="74"/>
      <c r="K27" s="8"/>
      <c r="L27" s="8"/>
      <c r="M27" s="8"/>
      <c r="N27" s="8"/>
      <c r="AB27" s="95">
        <v>6.25E-2</v>
      </c>
      <c r="AC27" s="56"/>
      <c r="AD27" s="56"/>
      <c r="AE27" s="56"/>
      <c r="AF27" s="56"/>
      <c r="AG27" s="56">
        <v>2.5</v>
      </c>
      <c r="AH27" s="96">
        <f t="shared" si="6"/>
        <v>7.7392866819002513E-3</v>
      </c>
      <c r="AI27" s="59">
        <f t="shared" si="7"/>
        <v>0.77392866819002515</v>
      </c>
      <c r="AJ27"/>
    </row>
    <row r="28" spans="1:36" ht="17.45" x14ac:dyDescent="0.3">
      <c r="B28" s="155" t="s">
        <v>52</v>
      </c>
      <c r="C28" s="155"/>
      <c r="D28" s="155"/>
      <c r="E28" s="155"/>
      <c r="F28" s="155"/>
      <c r="G28" s="155"/>
      <c r="H28" s="155"/>
      <c r="I28" s="155"/>
      <c r="J28" s="69"/>
      <c r="K28" s="8"/>
      <c r="L28" s="8"/>
      <c r="M28" s="8"/>
      <c r="N28" s="8"/>
      <c r="AC28" s="49">
        <f>+H43</f>
        <v>144.39999999999998</v>
      </c>
      <c r="AD28" s="97">
        <f>(AF4/H45)*AC28</f>
        <v>126.48682199447002</v>
      </c>
      <c r="AE28" s="49"/>
      <c r="AJ28"/>
    </row>
    <row r="29" spans="1:36" ht="14.45" x14ac:dyDescent="0.3">
      <c r="B29" s="75" t="s">
        <v>41</v>
      </c>
      <c r="C29" s="75" t="s">
        <v>42</v>
      </c>
      <c r="D29" s="75" t="s">
        <v>43</v>
      </c>
      <c r="E29" s="75" t="s">
        <v>44</v>
      </c>
      <c r="F29" s="75" t="s">
        <v>53</v>
      </c>
      <c r="G29" s="75" t="s">
        <v>54</v>
      </c>
      <c r="H29" s="75" t="s">
        <v>55</v>
      </c>
      <c r="I29" s="75" t="s">
        <v>56</v>
      </c>
      <c r="J29" s="76"/>
      <c r="AC29" s="1">
        <f>SUM(AC10:AC28)</f>
        <v>426.49999999999994</v>
      </c>
      <c r="AD29" s="1">
        <f>SUM(AD10:AD28)</f>
        <v>408.58682199446997</v>
      </c>
      <c r="AE29" s="49"/>
      <c r="AJ29"/>
    </row>
    <row r="30" spans="1:36" ht="82.9" x14ac:dyDescent="0.3">
      <c r="B30" s="55" t="s">
        <v>57</v>
      </c>
      <c r="C30" s="77" t="s">
        <v>58</v>
      </c>
      <c r="D30" s="55" t="s">
        <v>59</v>
      </c>
      <c r="E30" s="55" t="s">
        <v>60</v>
      </c>
      <c r="F30" s="55" t="s">
        <v>61</v>
      </c>
      <c r="G30" s="55" t="s">
        <v>62</v>
      </c>
      <c r="H30" s="55" t="s">
        <v>63</v>
      </c>
      <c r="I30" s="55" t="s">
        <v>64</v>
      </c>
      <c r="J30" s="78"/>
      <c r="M30" s="78"/>
      <c r="AJ30"/>
    </row>
    <row r="31" spans="1:36" ht="17.45" x14ac:dyDescent="0.3">
      <c r="B31" s="56"/>
      <c r="C31" s="65"/>
      <c r="D31" s="55"/>
      <c r="E31" s="55"/>
      <c r="F31" s="55"/>
      <c r="G31" s="65" t="s">
        <v>65</v>
      </c>
      <c r="H31" s="65" t="s">
        <v>66</v>
      </c>
      <c r="I31" s="65" t="s">
        <v>67</v>
      </c>
      <c r="J31" s="79"/>
      <c r="Q31" s="80"/>
      <c r="AB31" s="98" t="s">
        <v>82</v>
      </c>
      <c r="AC31" s="98" t="s">
        <v>10</v>
      </c>
      <c r="AJ31"/>
    </row>
    <row r="32" spans="1:36" ht="15" x14ac:dyDescent="0.25">
      <c r="B32" s="71" t="s">
        <v>68</v>
      </c>
      <c r="C32" s="65"/>
      <c r="D32" s="55"/>
      <c r="E32" s="55"/>
      <c r="F32" s="55"/>
      <c r="G32" s="55"/>
      <c r="H32" s="77">
        <f>F32-G32</f>
        <v>0</v>
      </c>
      <c r="I32" s="77">
        <f>H32</f>
        <v>0</v>
      </c>
      <c r="J32" s="79"/>
      <c r="AB32" s="98">
        <v>16</v>
      </c>
      <c r="AC32" s="99">
        <f ca="1">10^(FORECAST(AB32,LOG(OFFSET(AB$10:AB$27,MATCH(AB32,AI$10:AI$27,-1)-1,0,2)),OFFSET(AI$10:AI$27,MATCH(AB32,AI$10:AI$27,-1)-1,0,2)))</f>
        <v>2.4593227636157873</v>
      </c>
      <c r="AJ32"/>
    </row>
    <row r="33" spans="2:36" ht="15" x14ac:dyDescent="0.25">
      <c r="B33" s="71" t="s">
        <v>69</v>
      </c>
      <c r="C33" s="67"/>
      <c r="D33" s="55"/>
      <c r="E33" s="55"/>
      <c r="F33" s="55"/>
      <c r="G33" s="55"/>
      <c r="H33" s="77">
        <f t="shared" ref="H33:H34" si="8">F33-G33</f>
        <v>0</v>
      </c>
      <c r="I33" s="108">
        <f>H33+I32</f>
        <v>0</v>
      </c>
      <c r="J33" s="79"/>
      <c r="AB33" s="98">
        <v>50</v>
      </c>
      <c r="AC33" s="99">
        <f ca="1">10^(FORECAST(AB33,LOG(OFFSET(AB$10:AB$27,MATCH(AB33,AI$10:AI$27,-1)-1,0,2)),OFFSET(AI$10:AI$27,MATCH(AB33,AI$10:AI$27,-1)-1,0,2)))</f>
        <v>35.511309553039993</v>
      </c>
      <c r="AJ33"/>
    </row>
    <row r="34" spans="2:36" ht="15" x14ac:dyDescent="0.25">
      <c r="B34" s="71" t="s">
        <v>70</v>
      </c>
      <c r="C34" s="67"/>
      <c r="D34" s="55"/>
      <c r="E34" s="55"/>
      <c r="F34" s="55"/>
      <c r="G34" s="55"/>
      <c r="H34" s="77">
        <f t="shared" si="8"/>
        <v>0</v>
      </c>
      <c r="I34" s="108">
        <f t="shared" ref="I34:I35" si="9">H34+I33</f>
        <v>0</v>
      </c>
      <c r="J34" s="79"/>
      <c r="AB34" s="98">
        <v>84</v>
      </c>
      <c r="AC34" s="99">
        <f ca="1">10^(FORECAST(AB34,LOG(OFFSET(AB$10:AB$27,MATCH(AB34,AI$10:AI$27,-1)-1,0,2)),OFFSET(AI$10:AI$27,MATCH(AB34,AI$10:AI$27,-1)-1,0,2)))</f>
        <v>81.310141349980682</v>
      </c>
      <c r="AJ34"/>
    </row>
    <row r="35" spans="2:36" ht="15" x14ac:dyDescent="0.25">
      <c r="B35" s="71" t="s">
        <v>71</v>
      </c>
      <c r="C35" s="67"/>
      <c r="D35" s="81"/>
      <c r="E35" s="81"/>
      <c r="F35" s="81"/>
      <c r="G35" s="67"/>
      <c r="H35" s="108">
        <f>F35-G35</f>
        <v>0</v>
      </c>
      <c r="I35" s="108">
        <f t="shared" si="9"/>
        <v>0</v>
      </c>
      <c r="J35" s="79"/>
      <c r="AB35" s="98">
        <v>90</v>
      </c>
      <c r="AC35" s="99">
        <f ca="1">10^(FORECAST(AB35,LOG(OFFSET(AB$10:AB$27,MATCH(AB35,AI$10:AI$27,-1)-1,0,2)),OFFSET(AI$10:AI$27,MATCH(AB35,AI$10:AI$27,-1)-1,0,2)))</f>
        <v>93.162213036449558</v>
      </c>
      <c r="AE35"/>
      <c r="AF35"/>
      <c r="AG35"/>
      <c r="AH35"/>
      <c r="AI35"/>
      <c r="AJ35"/>
    </row>
    <row r="36" spans="2:36" ht="15" x14ac:dyDescent="0.25">
      <c r="B36" s="82" t="s">
        <v>72</v>
      </c>
      <c r="C36" s="67">
        <v>1.7</v>
      </c>
      <c r="D36" s="67">
        <v>47</v>
      </c>
      <c r="E36" s="67"/>
      <c r="F36" s="67">
        <v>47</v>
      </c>
      <c r="G36" s="67">
        <v>1.7</v>
      </c>
      <c r="H36" s="108">
        <f t="shared" ref="H36:H43" si="10">F36-G36</f>
        <v>45.3</v>
      </c>
      <c r="I36" s="108">
        <f>I35+H36</f>
        <v>45.3</v>
      </c>
      <c r="J36" s="8"/>
      <c r="AB36" s="100"/>
      <c r="AC36" s="100"/>
      <c r="AD36"/>
      <c r="AE36"/>
      <c r="AF36"/>
      <c r="AG36"/>
      <c r="AH36"/>
      <c r="AI36"/>
      <c r="AJ36"/>
    </row>
    <row r="37" spans="2:36" ht="15" x14ac:dyDescent="0.25">
      <c r="B37" s="82" t="s">
        <v>73</v>
      </c>
      <c r="C37" s="67">
        <v>1.7</v>
      </c>
      <c r="D37" s="67">
        <v>69.099999999999994</v>
      </c>
      <c r="E37" s="67"/>
      <c r="F37" s="67">
        <v>69.099999999999994</v>
      </c>
      <c r="G37" s="67">
        <v>1.7</v>
      </c>
      <c r="H37" s="108">
        <f t="shared" si="10"/>
        <v>67.399999999999991</v>
      </c>
      <c r="I37" s="108">
        <f t="shared" ref="I37:I41" si="11">I36+H37</f>
        <v>112.69999999999999</v>
      </c>
      <c r="J37" s="8"/>
      <c r="AB37" s="98" t="s">
        <v>83</v>
      </c>
      <c r="AC37" s="99">
        <f ca="1">0.5*(AC34/AC33+AC33/AC32)</f>
        <v>8.3645819657820191</v>
      </c>
      <c r="AD37"/>
      <c r="AE37"/>
      <c r="AF37"/>
      <c r="AG37"/>
      <c r="AH37"/>
      <c r="AI37"/>
      <c r="AJ37"/>
    </row>
    <row r="38" spans="2:36" ht="15" x14ac:dyDescent="0.25">
      <c r="B38" s="67">
        <v>45</v>
      </c>
      <c r="C38" s="67">
        <v>1.7</v>
      </c>
      <c r="D38" s="67">
        <v>62.8</v>
      </c>
      <c r="E38" s="67"/>
      <c r="F38" s="67">
        <v>62.8</v>
      </c>
      <c r="G38" s="67">
        <v>1.7</v>
      </c>
      <c r="H38" s="108">
        <f t="shared" si="10"/>
        <v>61.099999999999994</v>
      </c>
      <c r="I38" s="108">
        <f t="shared" si="11"/>
        <v>173.79999999999998</v>
      </c>
      <c r="J38" s="8"/>
      <c r="AB38" s="100" t="s">
        <v>84</v>
      </c>
      <c r="AC38" s="99">
        <f>100-AI22</f>
        <v>84.830998103475508</v>
      </c>
      <c r="AD38"/>
      <c r="AE38"/>
      <c r="AF38"/>
      <c r="AG38"/>
      <c r="AH38"/>
      <c r="AI38"/>
      <c r="AJ38"/>
    </row>
    <row r="39" spans="2:36" ht="15" x14ac:dyDescent="0.25">
      <c r="B39" s="67">
        <v>32</v>
      </c>
      <c r="C39" s="67">
        <v>1.7</v>
      </c>
      <c r="D39" s="67">
        <v>45.6</v>
      </c>
      <c r="E39" s="67"/>
      <c r="F39" s="67">
        <v>45.6</v>
      </c>
      <c r="G39" s="67">
        <v>1.7</v>
      </c>
      <c r="H39" s="108">
        <f t="shared" si="10"/>
        <v>43.9</v>
      </c>
      <c r="I39" s="108">
        <f t="shared" si="11"/>
        <v>217.7</v>
      </c>
      <c r="J39" s="8"/>
      <c r="AB39" s="100" t="s">
        <v>85</v>
      </c>
      <c r="AC39" s="99">
        <f>AI22-AI27</f>
        <v>14.395073228334466</v>
      </c>
      <c r="AD39"/>
      <c r="AE39"/>
      <c r="AF39"/>
      <c r="AG39"/>
      <c r="AH39"/>
      <c r="AI39"/>
      <c r="AJ39"/>
    </row>
    <row r="40" spans="2:36" ht="15" x14ac:dyDescent="0.25">
      <c r="B40" s="67">
        <v>22.5</v>
      </c>
      <c r="C40" s="67">
        <v>1.7</v>
      </c>
      <c r="D40" s="67">
        <v>38.4</v>
      </c>
      <c r="E40" s="67"/>
      <c r="F40" s="67">
        <v>38.4</v>
      </c>
      <c r="G40" s="67">
        <v>1.7</v>
      </c>
      <c r="H40" s="108">
        <f t="shared" si="10"/>
        <v>36.699999999999996</v>
      </c>
      <c r="I40" s="108">
        <f t="shared" si="11"/>
        <v>254.39999999999998</v>
      </c>
      <c r="J40" s="8"/>
      <c r="AB40" s="98" t="s">
        <v>86</v>
      </c>
      <c r="AC40" s="99">
        <f>AI27</f>
        <v>0.77392866819002515</v>
      </c>
      <c r="AD40"/>
      <c r="AE40"/>
      <c r="AF40"/>
      <c r="AG40"/>
      <c r="AH40"/>
      <c r="AI40"/>
      <c r="AJ40"/>
    </row>
    <row r="41" spans="2:36" ht="15" x14ac:dyDescent="0.25">
      <c r="B41" s="67">
        <v>16</v>
      </c>
      <c r="C41" s="67">
        <v>1.7</v>
      </c>
      <c r="D41" s="67">
        <v>29.4</v>
      </c>
      <c r="E41" s="67"/>
      <c r="F41" s="67">
        <v>29.4</v>
      </c>
      <c r="G41" s="67">
        <v>1.7</v>
      </c>
      <c r="H41" s="108">
        <f t="shared" si="10"/>
        <v>27.7</v>
      </c>
      <c r="I41" s="108">
        <f t="shared" si="11"/>
        <v>282.09999999999997</v>
      </c>
      <c r="J41" s="8"/>
      <c r="AB41"/>
      <c r="AC41"/>
      <c r="AD41"/>
      <c r="AE41"/>
      <c r="AF41"/>
      <c r="AG41"/>
      <c r="AH41"/>
      <c r="AI41"/>
      <c r="AJ41"/>
    </row>
    <row r="42" spans="2:36" ht="15" x14ac:dyDescent="0.25">
      <c r="B42" s="67">
        <v>8</v>
      </c>
      <c r="C42" s="67"/>
      <c r="D42" s="67"/>
      <c r="E42" s="67"/>
      <c r="F42" s="67"/>
      <c r="G42" s="67"/>
      <c r="H42" s="108"/>
      <c r="I42" s="108"/>
      <c r="J42" s="8"/>
      <c r="AB42"/>
      <c r="AC42"/>
      <c r="AD42"/>
      <c r="AE42"/>
      <c r="AF42"/>
      <c r="AG42"/>
      <c r="AH42"/>
      <c r="AI42"/>
      <c r="AJ42"/>
    </row>
    <row r="43" spans="2:36" ht="15" x14ac:dyDescent="0.25">
      <c r="B43" s="71" t="s">
        <v>114</v>
      </c>
      <c r="C43" s="67">
        <v>66.2</v>
      </c>
      <c r="D43" s="67">
        <v>210.6</v>
      </c>
      <c r="E43" s="67"/>
      <c r="F43" s="67">
        <v>210.6</v>
      </c>
      <c r="G43" s="67">
        <v>66.2</v>
      </c>
      <c r="H43" s="108">
        <f t="shared" si="10"/>
        <v>144.39999999999998</v>
      </c>
      <c r="I43" s="108">
        <f>I41+H43</f>
        <v>426.49999999999994</v>
      </c>
      <c r="J43" s="8"/>
      <c r="AB43"/>
      <c r="AC43"/>
      <c r="AD43"/>
      <c r="AE43"/>
      <c r="AF43"/>
      <c r="AG43"/>
      <c r="AH43"/>
      <c r="AI43"/>
      <c r="AJ43"/>
    </row>
    <row r="44" spans="2:36" ht="15" x14ac:dyDescent="0.25">
      <c r="B44" s="71" t="s">
        <v>51</v>
      </c>
      <c r="C44" s="67"/>
      <c r="D44" s="67"/>
      <c r="E44" s="56"/>
      <c r="F44" s="67"/>
      <c r="G44" s="67"/>
      <c r="H44" s="106">
        <f>F44-G44</f>
        <v>0</v>
      </c>
      <c r="I44" s="106">
        <f>I43</f>
        <v>426.49999999999994</v>
      </c>
      <c r="J44" s="8"/>
      <c r="AB44"/>
      <c r="AC44"/>
      <c r="AD44"/>
      <c r="AE44"/>
      <c r="AF44"/>
      <c r="AG44"/>
      <c r="AH44"/>
      <c r="AI44"/>
      <c r="AJ44"/>
    </row>
    <row r="45" spans="2:36" ht="29.25" x14ac:dyDescent="0.25">
      <c r="B45" s="83" t="s">
        <v>115</v>
      </c>
      <c r="C45" s="135">
        <v>1.7</v>
      </c>
      <c r="D45" s="84">
        <v>23.4</v>
      </c>
      <c r="E45" s="26"/>
      <c r="F45" s="84">
        <v>23.4</v>
      </c>
      <c r="G45" s="135">
        <v>1.7</v>
      </c>
      <c r="H45" s="147">
        <f>F45-G45</f>
        <v>21.7</v>
      </c>
      <c r="I45" s="109"/>
      <c r="J45" s="8"/>
      <c r="AB45"/>
      <c r="AC45"/>
      <c r="AD45"/>
      <c r="AE45"/>
      <c r="AF45"/>
      <c r="AG45"/>
      <c r="AH45"/>
      <c r="AI45"/>
      <c r="AJ45"/>
    </row>
    <row r="46" spans="2:36" ht="15" x14ac:dyDescent="0.25">
      <c r="B46" s="85" t="s">
        <v>74</v>
      </c>
      <c r="J46" s="8"/>
      <c r="AB46"/>
      <c r="AC46"/>
      <c r="AD46"/>
      <c r="AE46"/>
      <c r="AF46"/>
      <c r="AG46"/>
      <c r="AH46"/>
      <c r="AI46"/>
      <c r="AJ46"/>
    </row>
    <row r="47" spans="2:36" ht="15" x14ac:dyDescent="0.25">
      <c r="B47" s="85"/>
      <c r="J47" s="8"/>
      <c r="AB47"/>
      <c r="AC47"/>
      <c r="AD47"/>
      <c r="AE47"/>
      <c r="AF47"/>
      <c r="AG47"/>
      <c r="AH47"/>
      <c r="AI47"/>
      <c r="AJ47"/>
    </row>
    <row r="48" spans="2:36" ht="15.75" x14ac:dyDescent="0.25">
      <c r="B48" s="156" t="s">
        <v>75</v>
      </c>
      <c r="C48" s="156"/>
      <c r="D48" s="156"/>
      <c r="E48" s="86"/>
      <c r="F48" s="68"/>
      <c r="G48" s="87" t="s">
        <v>76</v>
      </c>
      <c r="H48" s="88">
        <f>+(E26-I44)/E26</f>
        <v>4.2026616857344578E-3</v>
      </c>
      <c r="I48" s="86"/>
      <c r="J48" s="8"/>
      <c r="Q48" s="89"/>
      <c r="AB48"/>
      <c r="AC48"/>
      <c r="AD48"/>
      <c r="AE48"/>
      <c r="AF48"/>
      <c r="AG48"/>
      <c r="AH48"/>
      <c r="AI48"/>
      <c r="AJ48"/>
    </row>
    <row r="49" spans="2:36" ht="15" x14ac:dyDescent="0.25">
      <c r="B49" s="157" t="s">
        <v>77</v>
      </c>
      <c r="C49" s="157"/>
      <c r="D49" s="157"/>
      <c r="E49" s="87"/>
      <c r="AB49"/>
      <c r="AC49"/>
      <c r="AD49"/>
      <c r="AE49"/>
      <c r="AF49"/>
      <c r="AG49"/>
      <c r="AH49"/>
      <c r="AI49"/>
      <c r="AJ49"/>
    </row>
    <row r="50" spans="2:36" ht="15" x14ac:dyDescent="0.25">
      <c r="B50" s="73"/>
      <c r="C50" s="73"/>
      <c r="D50" s="73"/>
      <c r="AB50"/>
      <c r="AC50"/>
      <c r="AD50"/>
      <c r="AE50"/>
      <c r="AF50"/>
      <c r="AG50"/>
      <c r="AH50"/>
      <c r="AI50"/>
      <c r="AJ50"/>
    </row>
    <row r="51" spans="2:36" ht="15" x14ac:dyDescent="0.25">
      <c r="B51" s="158" t="s">
        <v>78</v>
      </c>
      <c r="C51" s="158"/>
      <c r="D51" s="158"/>
      <c r="E51" s="158"/>
      <c r="F51" s="158"/>
      <c r="G51" s="158"/>
      <c r="H51" s="158"/>
      <c r="I51" s="158"/>
      <c r="J51" s="90"/>
      <c r="AB51"/>
      <c r="AC51"/>
      <c r="AD51"/>
      <c r="AE51"/>
      <c r="AF51"/>
      <c r="AG51"/>
      <c r="AH51"/>
      <c r="AI51"/>
      <c r="AJ51"/>
    </row>
    <row r="52" spans="2:36" ht="15" x14ac:dyDescent="0.25">
      <c r="B52" s="158"/>
      <c r="C52" s="158"/>
      <c r="D52" s="158"/>
      <c r="E52" s="158"/>
      <c r="F52" s="158"/>
      <c r="G52" s="158"/>
      <c r="H52" s="158"/>
      <c r="I52" s="158"/>
      <c r="J52" s="90"/>
      <c r="AB52"/>
      <c r="AC52"/>
      <c r="AD52"/>
      <c r="AE52"/>
      <c r="AF52"/>
      <c r="AG52"/>
      <c r="AH52"/>
      <c r="AI52"/>
      <c r="AJ52"/>
    </row>
    <row r="53" spans="2:36" ht="15" x14ac:dyDescent="0.25">
      <c r="B53" s="6" t="s">
        <v>79</v>
      </c>
      <c r="C53" s="6" t="s">
        <v>131</v>
      </c>
      <c r="E53" s="1" t="s">
        <v>80</v>
      </c>
      <c r="F53" s="6">
        <v>603</v>
      </c>
      <c r="G53" s="91"/>
      <c r="H53" s="41" t="s">
        <v>81</v>
      </c>
      <c r="I53" s="129"/>
      <c r="J53" s="1" t="s">
        <v>117</v>
      </c>
      <c r="K53" s="6"/>
      <c r="AB53"/>
      <c r="AC53"/>
      <c r="AD53"/>
      <c r="AE53"/>
      <c r="AF53"/>
      <c r="AG53"/>
      <c r="AH53"/>
      <c r="AI53"/>
      <c r="AJ53"/>
    </row>
    <row r="54" spans="2:36" ht="15" x14ac:dyDescent="0.25">
      <c r="J54" s="72"/>
      <c r="AB54"/>
      <c r="AC54"/>
      <c r="AD54"/>
      <c r="AE54"/>
      <c r="AF54"/>
      <c r="AG54"/>
      <c r="AH54"/>
      <c r="AI54"/>
      <c r="AJ54"/>
    </row>
    <row r="55" spans="2:36" ht="15" x14ac:dyDescent="0.25">
      <c r="J55" s="72"/>
      <c r="AB55"/>
      <c r="AC55"/>
      <c r="AD55"/>
      <c r="AE55"/>
      <c r="AF55"/>
      <c r="AG55"/>
      <c r="AH55"/>
      <c r="AI55"/>
      <c r="AJ55"/>
    </row>
    <row r="56" spans="2:36" ht="15" x14ac:dyDescent="0.25">
      <c r="J56" s="72"/>
      <c r="AB56"/>
      <c r="AC56"/>
      <c r="AD56"/>
      <c r="AE56"/>
      <c r="AF56"/>
      <c r="AG56"/>
      <c r="AH56"/>
      <c r="AI56"/>
      <c r="AJ56"/>
    </row>
    <row r="57" spans="2:36" ht="15" x14ac:dyDescent="0.25">
      <c r="J57" s="72"/>
      <c r="AB57"/>
      <c r="AC57"/>
      <c r="AD57"/>
      <c r="AE57"/>
      <c r="AF57"/>
      <c r="AG57"/>
      <c r="AH57"/>
      <c r="AI57"/>
      <c r="AJ57"/>
    </row>
    <row r="58" spans="2:36" ht="15" x14ac:dyDescent="0.25">
      <c r="B58" s="8"/>
      <c r="C58" s="8"/>
      <c r="AB58"/>
      <c r="AC58"/>
      <c r="AD58"/>
      <c r="AE58"/>
      <c r="AF58"/>
      <c r="AG58"/>
      <c r="AH58"/>
      <c r="AI58"/>
      <c r="AJ58"/>
    </row>
  </sheetData>
  <mergeCells count="8">
    <mergeCell ref="B28:I28"/>
    <mergeCell ref="B48:D48"/>
    <mergeCell ref="B49:D49"/>
    <mergeCell ref="B51:I52"/>
    <mergeCell ref="AB1:AI1"/>
    <mergeCell ref="B3:J3"/>
    <mergeCell ref="AC7:AF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4" zoomScale="90" zoomScaleNormal="90" workbookViewId="0">
      <selection activeCell="J20" sqref="J20:M2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3" width="9.710937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9" t="s">
        <v>143</v>
      </c>
      <c r="C2" s="159"/>
      <c r="D2" s="159"/>
      <c r="E2" s="159"/>
      <c r="F2" s="159"/>
      <c r="G2" s="159"/>
      <c r="H2" s="159"/>
      <c r="I2" s="159"/>
      <c r="J2" s="159"/>
      <c r="K2" s="159"/>
      <c r="L2" s="159"/>
      <c r="M2" s="159"/>
      <c r="N2" s="159"/>
      <c r="O2" s="159"/>
      <c r="P2" s="159"/>
      <c r="Q2" s="159"/>
      <c r="R2" s="159"/>
      <c r="S2" s="159"/>
      <c r="T2" s="159"/>
      <c r="U2" s="159"/>
      <c r="V2" s="159"/>
      <c r="Y2" s="159" t="s">
        <v>143</v>
      </c>
      <c r="Z2" s="159"/>
      <c r="AA2" s="159"/>
      <c r="AB2" s="159"/>
      <c r="AC2" s="159"/>
      <c r="AD2" s="159"/>
      <c r="AE2" s="159"/>
      <c r="AF2" s="159"/>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87" t="s">
        <v>0</v>
      </c>
      <c r="C4" s="187"/>
      <c r="D4" s="6" t="s">
        <v>129</v>
      </c>
      <c r="E4" s="6"/>
      <c r="F4" s="6"/>
      <c r="G4" s="6"/>
      <c r="J4" s="1"/>
      <c r="K4" s="6" t="s">
        <v>1</v>
      </c>
      <c r="L4" s="6" t="s">
        <v>134</v>
      </c>
      <c r="M4" s="6"/>
      <c r="N4" s="6"/>
      <c r="O4" s="6"/>
      <c r="P4" s="6"/>
      <c r="Q4" s="6"/>
      <c r="R4" s="6"/>
      <c r="S4" s="6"/>
      <c r="T4" s="6"/>
      <c r="Y4" s="8" t="s">
        <v>0</v>
      </c>
      <c r="Z4" s="6" t="s">
        <v>129</v>
      </c>
      <c r="AA4" s="6"/>
      <c r="AB4" s="1"/>
    </row>
    <row r="5" spans="2:33" x14ac:dyDescent="0.2">
      <c r="B5" s="184" t="s">
        <v>4</v>
      </c>
      <c r="C5" s="184"/>
      <c r="D5" s="9">
        <v>181.4</v>
      </c>
      <c r="E5" s="9"/>
      <c r="F5" s="9"/>
      <c r="G5" s="9"/>
      <c r="J5" s="1"/>
      <c r="K5" s="184" t="s">
        <v>6</v>
      </c>
      <c r="L5" s="184"/>
      <c r="M5" s="9" t="s">
        <v>135</v>
      </c>
      <c r="N5" s="9"/>
      <c r="O5" s="9"/>
      <c r="P5" s="9"/>
      <c r="Q5" s="9"/>
      <c r="R5" s="9"/>
      <c r="S5" s="9"/>
      <c r="T5" s="9"/>
      <c r="Y5" s="8" t="s">
        <v>3</v>
      </c>
      <c r="Z5" s="9">
        <v>181.4</v>
      </c>
      <c r="AA5" s="9"/>
      <c r="AB5" s="1"/>
    </row>
    <row r="6" spans="2:33" x14ac:dyDescent="0.2">
      <c r="B6" s="184" t="s">
        <v>5</v>
      </c>
      <c r="C6" s="184"/>
      <c r="D6" s="10">
        <v>41831</v>
      </c>
      <c r="E6" s="11"/>
      <c r="F6" s="9"/>
      <c r="G6" s="9"/>
      <c r="J6" s="1"/>
      <c r="K6" s="8" t="s">
        <v>127</v>
      </c>
      <c r="M6" s="9">
        <v>3217328</v>
      </c>
      <c r="N6" s="9"/>
      <c r="O6" s="9"/>
      <c r="P6" s="9"/>
      <c r="Q6" s="9"/>
      <c r="R6" s="9"/>
      <c r="S6" s="9"/>
      <c r="T6" s="9"/>
      <c r="U6" s="9"/>
      <c r="V6" s="9"/>
      <c r="Y6" s="8" t="s">
        <v>5</v>
      </c>
      <c r="Z6" s="10">
        <v>41831</v>
      </c>
      <c r="AA6" s="11"/>
    </row>
    <row r="7" spans="2:33" x14ac:dyDescent="0.2">
      <c r="B7" s="184" t="s">
        <v>119</v>
      </c>
      <c r="C7" s="184"/>
      <c r="D7" s="9" t="s">
        <v>131</v>
      </c>
      <c r="E7" s="9"/>
      <c r="F7" s="9"/>
      <c r="G7" s="9"/>
      <c r="J7" s="13"/>
      <c r="K7" s="14" t="s">
        <v>128</v>
      </c>
      <c r="L7" s="14"/>
      <c r="M7" s="15">
        <v>1861210.8</v>
      </c>
      <c r="N7" s="16"/>
      <c r="O7" s="16"/>
      <c r="P7" s="16"/>
      <c r="Q7" s="9"/>
      <c r="R7" s="9"/>
      <c r="S7" s="9"/>
      <c r="T7" s="9"/>
      <c r="U7" s="9"/>
      <c r="V7" s="9"/>
      <c r="Y7" s="8"/>
      <c r="Z7" s="8"/>
      <c r="AA7" s="8"/>
      <c r="AE7" s="17"/>
    </row>
    <row r="8" spans="2:33" x14ac:dyDescent="0.2">
      <c r="B8" s="15" t="s">
        <v>109</v>
      </c>
      <c r="C8" s="15"/>
      <c r="D8" s="9" t="s">
        <v>136</v>
      </c>
      <c r="E8" s="9"/>
      <c r="F8" s="9"/>
      <c r="G8" s="9"/>
      <c r="J8" s="13"/>
      <c r="K8" s="14" t="s">
        <v>8</v>
      </c>
      <c r="L8" s="14"/>
      <c r="M8" s="15"/>
      <c r="N8" s="16"/>
      <c r="O8" s="16"/>
      <c r="P8" s="16"/>
      <c r="Q8" s="9"/>
      <c r="R8" s="9"/>
      <c r="S8" s="9"/>
      <c r="T8" s="9"/>
      <c r="U8" s="9"/>
      <c r="V8" s="9"/>
      <c r="Y8" s="8"/>
      <c r="Z8" s="8"/>
      <c r="AA8" s="8"/>
      <c r="AE8" s="17"/>
    </row>
    <row r="9" spans="2:33" x14ac:dyDescent="0.2">
      <c r="B9" s="146" t="s">
        <v>125</v>
      </c>
      <c r="C9" s="146"/>
      <c r="D9" s="9"/>
      <c r="E9" s="9"/>
      <c r="F9" s="9"/>
      <c r="G9" s="9" t="s">
        <v>132</v>
      </c>
      <c r="K9" s="9"/>
      <c r="L9" s="9"/>
      <c r="M9" s="9"/>
      <c r="N9" s="9"/>
      <c r="O9" s="9"/>
      <c r="P9" s="9"/>
      <c r="Q9" s="9"/>
      <c r="R9" s="9"/>
      <c r="S9" s="9"/>
      <c r="T9" s="9"/>
      <c r="U9" s="9"/>
      <c r="V9" s="9"/>
      <c r="Y9" s="8" t="s">
        <v>9</v>
      </c>
      <c r="Z9" s="8"/>
      <c r="AA9" s="8"/>
      <c r="AB9" s="18"/>
      <c r="AC9" s="17"/>
      <c r="AD9" s="17"/>
      <c r="AE9" s="17"/>
    </row>
    <row r="10" spans="2:33" x14ac:dyDescent="0.2">
      <c r="B10" s="6" t="s">
        <v>126</v>
      </c>
      <c r="C10" s="6"/>
      <c r="D10" s="9" t="s">
        <v>133</v>
      </c>
      <c r="E10" s="9"/>
      <c r="F10" s="9"/>
      <c r="G10" s="9"/>
      <c r="H10" s="2"/>
      <c r="I10" s="1"/>
      <c r="J10" s="1"/>
      <c r="K10" s="9"/>
      <c r="L10" s="9"/>
      <c r="M10" s="9"/>
      <c r="N10" s="9"/>
      <c r="O10" s="9"/>
      <c r="P10" s="9"/>
      <c r="Q10" s="9"/>
      <c r="R10" s="9"/>
      <c r="S10" s="9"/>
      <c r="T10" s="9"/>
      <c r="U10" s="9"/>
      <c r="V10" s="9"/>
      <c r="Y10" s="6"/>
      <c r="Z10" s="6"/>
      <c r="AA10" s="6"/>
      <c r="AB10" s="19"/>
      <c r="AC10" s="20"/>
      <c r="AD10" s="20"/>
      <c r="AE10" s="20"/>
      <c r="AF10" s="6"/>
    </row>
    <row r="11" spans="2:33" s="8" customFormat="1" ht="15.75" x14ac:dyDescent="0.25">
      <c r="B11" s="21"/>
      <c r="C11" s="185"/>
      <c r="D11" s="185"/>
      <c r="E11" s="185"/>
      <c r="F11" s="185"/>
      <c r="G11" s="185"/>
      <c r="H11" s="185"/>
      <c r="I11" s="22"/>
      <c r="J11" s="22"/>
      <c r="K11" s="22"/>
      <c r="L11" s="22"/>
      <c r="N11" s="21"/>
      <c r="Y11" s="9"/>
      <c r="Z11" s="9"/>
      <c r="AA11" s="9"/>
      <c r="AB11" s="14"/>
      <c r="AC11" s="16"/>
      <c r="AD11" s="16"/>
      <c r="AE11" s="16"/>
      <c r="AF11" s="9"/>
      <c r="AG11" s="1"/>
    </row>
    <row r="12" spans="2:33" s="8" customFormat="1" ht="32.25" thickBot="1" x14ac:dyDescent="0.25">
      <c r="B12" s="23" t="s">
        <v>10</v>
      </c>
      <c r="C12" s="186" t="s">
        <v>11</v>
      </c>
      <c r="D12" s="186"/>
      <c r="E12" s="186"/>
      <c r="F12" s="186"/>
      <c r="G12" s="24" t="s">
        <v>12</v>
      </c>
      <c r="H12" s="24" t="s">
        <v>13</v>
      </c>
      <c r="I12" s="23" t="s">
        <v>10</v>
      </c>
      <c r="J12" s="186" t="s">
        <v>14</v>
      </c>
      <c r="K12" s="186"/>
      <c r="L12" s="186"/>
      <c r="M12" s="186"/>
      <c r="N12" s="24" t="s">
        <v>12</v>
      </c>
      <c r="O12" s="24" t="s">
        <v>13</v>
      </c>
      <c r="P12" s="23" t="s">
        <v>10</v>
      </c>
      <c r="Q12" s="186" t="s">
        <v>15</v>
      </c>
      <c r="R12" s="186"/>
      <c r="S12" s="186"/>
      <c r="T12" s="186"/>
      <c r="U12" s="24" t="s">
        <v>12</v>
      </c>
      <c r="V12" s="24" t="s">
        <v>13</v>
      </c>
      <c r="W12" s="112" t="s">
        <v>16</v>
      </c>
      <c r="X12" s="127"/>
      <c r="Y12" s="9"/>
      <c r="Z12" s="9"/>
      <c r="AA12" s="9"/>
      <c r="AB12" s="14"/>
      <c r="AC12" s="16"/>
      <c r="AD12" s="16"/>
      <c r="AE12" s="16"/>
      <c r="AF12" s="9"/>
      <c r="AG12" s="1"/>
    </row>
    <row r="13" spans="2:33" s="27" customFormat="1" ht="13.9" x14ac:dyDescent="0.25">
      <c r="B13" s="113" t="s">
        <v>17</v>
      </c>
      <c r="C13" s="188">
        <v>3</v>
      </c>
      <c r="D13" s="188"/>
      <c r="E13" s="188"/>
      <c r="F13" s="188"/>
      <c r="G13" s="25">
        <v>3</v>
      </c>
      <c r="H13" s="114">
        <f>G13</f>
        <v>3</v>
      </c>
      <c r="I13" s="115" t="s">
        <v>17</v>
      </c>
      <c r="J13" s="188">
        <v>4</v>
      </c>
      <c r="K13" s="188"/>
      <c r="L13" s="188"/>
      <c r="M13" s="188"/>
      <c r="N13" s="25">
        <f>J13</f>
        <v>4</v>
      </c>
      <c r="O13" s="114">
        <f>N13</f>
        <v>4</v>
      </c>
      <c r="P13" s="115" t="s">
        <v>17</v>
      </c>
      <c r="Q13" s="188">
        <v>4</v>
      </c>
      <c r="R13" s="188"/>
      <c r="S13" s="188"/>
      <c r="T13" s="188"/>
      <c r="U13" s="25">
        <f>Q13</f>
        <v>4</v>
      </c>
      <c r="V13" s="151">
        <f>U13</f>
        <v>4</v>
      </c>
      <c r="W13" s="116">
        <f>AVERAGE(V13,O13,H13)</f>
        <v>3.6666666666666665</v>
      </c>
      <c r="X13" s="33"/>
      <c r="Y13" s="9"/>
      <c r="Z13" s="9"/>
      <c r="AA13" s="9"/>
      <c r="AB13" s="14"/>
      <c r="AC13" s="16"/>
      <c r="AD13" s="16"/>
      <c r="AE13" s="16"/>
      <c r="AF13" s="9"/>
      <c r="AG13" s="1"/>
    </row>
    <row r="14" spans="2:33" s="27" customFormat="1" ht="13.9" x14ac:dyDescent="0.25">
      <c r="B14" s="117">
        <v>2</v>
      </c>
      <c r="C14" s="180"/>
      <c r="D14" s="180"/>
      <c r="E14" s="180"/>
      <c r="F14" s="180"/>
      <c r="G14" s="28">
        <f>C14</f>
        <v>0</v>
      </c>
      <c r="H14" s="118">
        <v>0</v>
      </c>
      <c r="I14" s="119">
        <v>2</v>
      </c>
      <c r="J14" s="180"/>
      <c r="K14" s="180"/>
      <c r="L14" s="180"/>
      <c r="M14" s="180"/>
      <c r="N14" s="28">
        <f>J14</f>
        <v>0</v>
      </c>
      <c r="O14" s="118">
        <v>0</v>
      </c>
      <c r="P14" s="119">
        <v>2</v>
      </c>
      <c r="Q14" s="180"/>
      <c r="R14" s="180"/>
      <c r="S14" s="180"/>
      <c r="T14" s="180"/>
      <c r="U14" s="28">
        <f>Q14</f>
        <v>0</v>
      </c>
      <c r="V14" s="152">
        <v>0</v>
      </c>
      <c r="W14" s="120">
        <f>AVERAGE(V14,O14,H14)</f>
        <v>0</v>
      </c>
      <c r="X14" s="33"/>
      <c r="Y14" s="9"/>
      <c r="Z14" s="9"/>
      <c r="AA14" s="9"/>
      <c r="AB14" s="14"/>
      <c r="AC14" s="16"/>
      <c r="AD14" s="16"/>
      <c r="AE14" s="16"/>
      <c r="AF14" s="9"/>
      <c r="AG14" s="1"/>
    </row>
    <row r="15" spans="2:33" s="27" customFormat="1" ht="13.9" x14ac:dyDescent="0.25">
      <c r="B15" s="121">
        <v>2.8</v>
      </c>
      <c r="C15" s="180"/>
      <c r="D15" s="180"/>
      <c r="E15" s="180"/>
      <c r="F15" s="180"/>
      <c r="G15" s="28">
        <f>C15+G14</f>
        <v>0</v>
      </c>
      <c r="H15" s="118">
        <f>100*G14/SUM(G$14:G$30)+H14</f>
        <v>0</v>
      </c>
      <c r="I15" s="122">
        <v>2.8</v>
      </c>
      <c r="J15" s="180"/>
      <c r="K15" s="180"/>
      <c r="L15" s="180"/>
      <c r="M15" s="180"/>
      <c r="N15" s="28">
        <f>J15+N14</f>
        <v>0</v>
      </c>
      <c r="O15" s="118">
        <f>100*N14/SUM(N$14:N$30)+O14</f>
        <v>0</v>
      </c>
      <c r="P15" s="122">
        <v>2.8</v>
      </c>
      <c r="Q15" s="180"/>
      <c r="R15" s="180"/>
      <c r="S15" s="180"/>
      <c r="T15" s="180"/>
      <c r="U15" s="28">
        <f>Q15+U14</f>
        <v>0</v>
      </c>
      <c r="V15" s="152">
        <f>100*U14/SUM(U$14:U$30)+V14</f>
        <v>0</v>
      </c>
      <c r="W15" s="120">
        <f t="shared" ref="W15:W26" si="0">AVERAGE(V15,O15,H15)</f>
        <v>0</v>
      </c>
      <c r="X15" s="33"/>
      <c r="Y15" s="9"/>
      <c r="Z15" s="9"/>
      <c r="AA15" s="9"/>
      <c r="AB15" s="14"/>
      <c r="AC15" s="16"/>
      <c r="AD15" s="16"/>
      <c r="AE15" s="16"/>
      <c r="AF15" s="9"/>
      <c r="AG15" s="1"/>
    </row>
    <row r="16" spans="2:33" s="27" customFormat="1" x14ac:dyDescent="0.2">
      <c r="B16" s="117">
        <v>4</v>
      </c>
      <c r="C16" s="180"/>
      <c r="D16" s="180"/>
      <c r="E16" s="180"/>
      <c r="F16" s="180"/>
      <c r="G16" s="28">
        <f t="shared" ref="G16:G30" si="1">C16+G15</f>
        <v>0</v>
      </c>
      <c r="H16" s="118">
        <f t="shared" ref="H16:H30" si="2">100*G15/SUM(G$14:G$30)+H15</f>
        <v>0</v>
      </c>
      <c r="I16" s="119">
        <v>4</v>
      </c>
      <c r="J16" s="180"/>
      <c r="K16" s="180"/>
      <c r="L16" s="180"/>
      <c r="M16" s="180"/>
      <c r="N16" s="28">
        <f t="shared" ref="N16:N30" si="3">J16+N15</f>
        <v>0</v>
      </c>
      <c r="O16" s="118">
        <f t="shared" ref="O16:O30" si="4">100*N15/SUM(N$14:N$30)+O15</f>
        <v>0</v>
      </c>
      <c r="P16" s="119">
        <v>4</v>
      </c>
      <c r="Q16" s="180"/>
      <c r="R16" s="180"/>
      <c r="S16" s="180"/>
      <c r="T16" s="180"/>
      <c r="U16" s="28">
        <f t="shared" ref="U16:U30" si="5">Q16+U15</f>
        <v>0</v>
      </c>
      <c r="V16" s="152">
        <f t="shared" ref="V16:V30" si="6">100*U15/SUM(U$14:U$30)+V15</f>
        <v>0</v>
      </c>
      <c r="W16" s="120">
        <f t="shared" si="0"/>
        <v>0</v>
      </c>
      <c r="X16" s="33"/>
      <c r="Y16" s="9"/>
      <c r="Z16" s="9"/>
      <c r="AA16" s="9"/>
      <c r="AB16" s="14"/>
      <c r="AC16" s="9"/>
      <c r="AD16" s="9"/>
      <c r="AE16" s="9"/>
      <c r="AF16" s="9"/>
      <c r="AG16" s="1"/>
    </row>
    <row r="17" spans="2:33" s="27" customFormat="1" ht="18" x14ac:dyDescent="0.25">
      <c r="B17" s="117">
        <v>5.6</v>
      </c>
      <c r="C17" s="180"/>
      <c r="D17" s="180"/>
      <c r="E17" s="180"/>
      <c r="F17" s="180"/>
      <c r="G17" s="28">
        <f t="shared" si="1"/>
        <v>0</v>
      </c>
      <c r="H17" s="118">
        <f t="shared" si="2"/>
        <v>0</v>
      </c>
      <c r="I17" s="119">
        <v>5.6</v>
      </c>
      <c r="J17" s="180"/>
      <c r="K17" s="180"/>
      <c r="L17" s="180"/>
      <c r="M17" s="180"/>
      <c r="N17" s="28">
        <f t="shared" si="3"/>
        <v>0</v>
      </c>
      <c r="O17" s="118">
        <f t="shared" si="4"/>
        <v>0</v>
      </c>
      <c r="P17" s="119">
        <v>5.6</v>
      </c>
      <c r="Q17" s="180"/>
      <c r="R17" s="180"/>
      <c r="S17" s="180"/>
      <c r="T17" s="180"/>
      <c r="U17" s="28">
        <f t="shared" si="5"/>
        <v>0</v>
      </c>
      <c r="V17" s="152">
        <f t="shared" si="6"/>
        <v>0</v>
      </c>
      <c r="W17" s="120">
        <f t="shared" si="0"/>
        <v>0</v>
      </c>
      <c r="X17" s="33"/>
      <c r="Y17" s="29" t="s">
        <v>18</v>
      </c>
      <c r="Z17" s="30"/>
      <c r="AA17" s="30"/>
      <c r="AB17" s="31"/>
      <c r="AC17" s="32"/>
      <c r="AD17" s="32"/>
      <c r="AE17" s="32"/>
      <c r="AF17" s="32"/>
      <c r="AG17" s="1"/>
    </row>
    <row r="18" spans="2:33" s="27" customFormat="1" x14ac:dyDescent="0.2">
      <c r="B18" s="117">
        <v>8</v>
      </c>
      <c r="C18" s="180"/>
      <c r="D18" s="180"/>
      <c r="E18" s="180"/>
      <c r="F18" s="180"/>
      <c r="G18" s="28">
        <f t="shared" si="1"/>
        <v>0</v>
      </c>
      <c r="H18" s="118">
        <f t="shared" si="2"/>
        <v>0</v>
      </c>
      <c r="I18" s="119">
        <v>8</v>
      </c>
      <c r="J18" s="180"/>
      <c r="K18" s="180"/>
      <c r="L18" s="180"/>
      <c r="M18" s="180"/>
      <c r="N18" s="28">
        <v>1</v>
      </c>
      <c r="O18" s="118">
        <f t="shared" si="4"/>
        <v>0</v>
      </c>
      <c r="P18" s="119">
        <v>8</v>
      </c>
      <c r="Q18" s="180"/>
      <c r="R18" s="180"/>
      <c r="S18" s="180"/>
      <c r="T18" s="180"/>
      <c r="U18" s="28">
        <f t="shared" si="5"/>
        <v>0</v>
      </c>
      <c r="V18" s="152">
        <f t="shared" si="6"/>
        <v>0</v>
      </c>
      <c r="W18" s="120">
        <f t="shared" si="0"/>
        <v>0</v>
      </c>
      <c r="X18" s="33"/>
      <c r="Y18" s="32" t="s">
        <v>19</v>
      </c>
      <c r="Z18" s="182" t="s">
        <v>20</v>
      </c>
      <c r="AA18" s="182"/>
      <c r="AB18" s="182"/>
      <c r="AC18" s="182"/>
      <c r="AD18" s="182"/>
      <c r="AE18" s="182"/>
      <c r="AF18" s="182"/>
      <c r="AG18" s="8"/>
    </row>
    <row r="19" spans="2:33" s="27" customFormat="1" x14ac:dyDescent="0.2">
      <c r="B19" s="117">
        <v>11</v>
      </c>
      <c r="C19" s="180"/>
      <c r="D19" s="180"/>
      <c r="E19" s="180"/>
      <c r="F19" s="180"/>
      <c r="G19" s="28">
        <v>1</v>
      </c>
      <c r="H19" s="118">
        <f t="shared" si="2"/>
        <v>0</v>
      </c>
      <c r="I19" s="119">
        <v>11</v>
      </c>
      <c r="J19" s="180"/>
      <c r="K19" s="180"/>
      <c r="L19" s="180"/>
      <c r="M19" s="180"/>
      <c r="N19" s="28">
        <v>0</v>
      </c>
      <c r="O19" s="118">
        <f t="shared" si="4"/>
        <v>1</v>
      </c>
      <c r="P19" s="119">
        <v>11</v>
      </c>
      <c r="Q19" s="180"/>
      <c r="R19" s="180"/>
      <c r="S19" s="180"/>
      <c r="T19" s="180"/>
      <c r="U19" s="28">
        <f t="shared" si="5"/>
        <v>0</v>
      </c>
      <c r="V19" s="190">
        <f t="shared" si="6"/>
        <v>0</v>
      </c>
      <c r="W19" s="120">
        <f>AVERAGE(V19,O19,H19)</f>
        <v>0.33333333333333331</v>
      </c>
      <c r="X19" s="33"/>
      <c r="Y19" s="154">
        <v>599</v>
      </c>
      <c r="Z19" s="181" t="s">
        <v>137</v>
      </c>
      <c r="AA19" s="181"/>
      <c r="AB19" s="181"/>
      <c r="AC19" s="181"/>
      <c r="AD19" s="181"/>
      <c r="AE19" s="181"/>
      <c r="AF19" s="181"/>
    </row>
    <row r="20" spans="2:33" s="27" customFormat="1" x14ac:dyDescent="0.2">
      <c r="B20" s="117">
        <v>16</v>
      </c>
      <c r="C20" s="180"/>
      <c r="D20" s="180"/>
      <c r="E20" s="180"/>
      <c r="F20" s="180"/>
      <c r="G20" s="28">
        <v>2</v>
      </c>
      <c r="H20" s="118">
        <f t="shared" si="2"/>
        <v>1</v>
      </c>
      <c r="I20" s="119">
        <v>16</v>
      </c>
      <c r="J20" s="180"/>
      <c r="K20" s="180"/>
      <c r="L20" s="180"/>
      <c r="M20" s="180"/>
      <c r="N20" s="28">
        <v>4</v>
      </c>
      <c r="O20" s="118">
        <f t="shared" si="4"/>
        <v>1</v>
      </c>
      <c r="P20" s="119">
        <v>16</v>
      </c>
      <c r="Q20" s="180"/>
      <c r="R20" s="180"/>
      <c r="S20" s="180"/>
      <c r="T20" s="180"/>
      <c r="U20" s="28">
        <v>5</v>
      </c>
      <c r="V20" s="190">
        <f t="shared" si="6"/>
        <v>0</v>
      </c>
      <c r="W20" s="120">
        <f t="shared" si="0"/>
        <v>0.66666666666666663</v>
      </c>
      <c r="X20" s="33"/>
      <c r="Y20" s="154">
        <v>600</v>
      </c>
      <c r="Z20" s="181" t="s">
        <v>138</v>
      </c>
      <c r="AA20" s="181"/>
      <c r="AB20" s="181"/>
      <c r="AC20" s="181"/>
      <c r="AD20" s="181"/>
      <c r="AE20" s="181"/>
      <c r="AF20" s="181"/>
    </row>
    <row r="21" spans="2:33" s="27" customFormat="1" x14ac:dyDescent="0.2">
      <c r="B21" s="117">
        <v>22.5</v>
      </c>
      <c r="C21" s="180"/>
      <c r="D21" s="180"/>
      <c r="E21" s="180"/>
      <c r="F21" s="180"/>
      <c r="G21" s="28">
        <v>6</v>
      </c>
      <c r="H21" s="118">
        <f t="shared" si="2"/>
        <v>3</v>
      </c>
      <c r="I21" s="119">
        <v>22.5</v>
      </c>
      <c r="J21" s="180"/>
      <c r="K21" s="180"/>
      <c r="L21" s="180"/>
      <c r="M21" s="180"/>
      <c r="N21" s="28">
        <v>7</v>
      </c>
      <c r="O21" s="118">
        <f t="shared" si="4"/>
        <v>5</v>
      </c>
      <c r="P21" s="119">
        <v>22.5</v>
      </c>
      <c r="Q21" s="180"/>
      <c r="R21" s="180"/>
      <c r="S21" s="180"/>
      <c r="T21" s="180"/>
      <c r="U21" s="28">
        <v>14</v>
      </c>
      <c r="V21" s="190">
        <f t="shared" si="6"/>
        <v>4.9504950495049505</v>
      </c>
      <c r="W21" s="120">
        <f t="shared" si="0"/>
        <v>4.3168316831683171</v>
      </c>
      <c r="X21" s="33"/>
      <c r="Y21" s="26">
        <v>601</v>
      </c>
      <c r="Z21" s="181" t="s">
        <v>140</v>
      </c>
      <c r="AA21" s="181"/>
      <c r="AB21" s="181"/>
      <c r="AC21" s="181"/>
      <c r="AD21" s="181"/>
      <c r="AE21" s="181"/>
      <c r="AF21" s="181"/>
    </row>
    <row r="22" spans="2:33" s="27" customFormat="1" x14ac:dyDescent="0.2">
      <c r="B22" s="117">
        <v>32</v>
      </c>
      <c r="C22" s="180"/>
      <c r="D22" s="180"/>
      <c r="E22" s="180"/>
      <c r="F22" s="180"/>
      <c r="G22" s="28">
        <v>5</v>
      </c>
      <c r="H22" s="118">
        <f t="shared" si="2"/>
        <v>9</v>
      </c>
      <c r="I22" s="119">
        <v>32</v>
      </c>
      <c r="J22" s="180"/>
      <c r="K22" s="180"/>
      <c r="L22" s="180"/>
      <c r="M22" s="180"/>
      <c r="N22" s="28">
        <v>22</v>
      </c>
      <c r="O22" s="118">
        <f t="shared" si="4"/>
        <v>12</v>
      </c>
      <c r="P22" s="119">
        <v>32</v>
      </c>
      <c r="Q22" s="180"/>
      <c r="R22" s="180"/>
      <c r="S22" s="180"/>
      <c r="T22" s="180"/>
      <c r="U22" s="28">
        <v>18</v>
      </c>
      <c r="V22" s="190">
        <f t="shared" si="6"/>
        <v>18.811881188118811</v>
      </c>
      <c r="W22" s="120">
        <f t="shared" si="0"/>
        <v>13.27062706270627</v>
      </c>
      <c r="X22" s="33"/>
      <c r="Y22" s="26">
        <v>602</v>
      </c>
      <c r="Z22" s="181" t="s">
        <v>139</v>
      </c>
      <c r="AA22" s="181"/>
      <c r="AB22" s="181"/>
      <c r="AC22" s="181"/>
      <c r="AD22" s="181"/>
      <c r="AE22" s="181"/>
      <c r="AF22" s="181"/>
    </row>
    <row r="23" spans="2:33" s="27" customFormat="1" x14ac:dyDescent="0.2">
      <c r="B23" s="117">
        <v>45</v>
      </c>
      <c r="C23" s="180"/>
      <c r="D23" s="180"/>
      <c r="E23" s="180"/>
      <c r="F23" s="180"/>
      <c r="G23" s="28">
        <v>17</v>
      </c>
      <c r="H23" s="118">
        <f t="shared" si="2"/>
        <v>14</v>
      </c>
      <c r="I23" s="119">
        <v>45</v>
      </c>
      <c r="J23" s="180"/>
      <c r="K23" s="180"/>
      <c r="L23" s="180"/>
      <c r="M23" s="180"/>
      <c r="N23" s="28">
        <v>19</v>
      </c>
      <c r="O23" s="118">
        <f t="shared" si="4"/>
        <v>34</v>
      </c>
      <c r="P23" s="119">
        <v>45</v>
      </c>
      <c r="Q23" s="180"/>
      <c r="R23" s="180"/>
      <c r="S23" s="180"/>
      <c r="T23" s="180"/>
      <c r="U23" s="28">
        <v>25</v>
      </c>
      <c r="V23" s="190">
        <f t="shared" si="6"/>
        <v>36.633663366336634</v>
      </c>
      <c r="W23" s="120">
        <f t="shared" si="0"/>
        <v>28.21122112211221</v>
      </c>
      <c r="X23" s="33"/>
      <c r="Y23" s="26"/>
      <c r="Z23" s="181"/>
      <c r="AA23" s="181"/>
      <c r="AB23" s="181"/>
      <c r="AC23" s="181"/>
      <c r="AD23" s="181"/>
      <c r="AE23" s="181"/>
      <c r="AF23" s="181"/>
    </row>
    <row r="24" spans="2:33" s="27" customFormat="1" x14ac:dyDescent="0.2">
      <c r="B24" s="123">
        <v>64</v>
      </c>
      <c r="C24" s="180"/>
      <c r="D24" s="180"/>
      <c r="E24" s="180"/>
      <c r="F24" s="180"/>
      <c r="G24" s="28">
        <v>22</v>
      </c>
      <c r="H24" s="118">
        <f t="shared" si="2"/>
        <v>31</v>
      </c>
      <c r="I24" s="124">
        <v>64</v>
      </c>
      <c r="J24" s="180"/>
      <c r="K24" s="180"/>
      <c r="L24" s="180"/>
      <c r="M24" s="180"/>
      <c r="N24" s="28">
        <v>18</v>
      </c>
      <c r="O24" s="118">
        <f t="shared" si="4"/>
        <v>53</v>
      </c>
      <c r="P24" s="124">
        <v>64</v>
      </c>
      <c r="Q24" s="180"/>
      <c r="R24" s="180"/>
      <c r="S24" s="180"/>
      <c r="T24" s="180"/>
      <c r="U24" s="28">
        <v>23</v>
      </c>
      <c r="V24" s="190">
        <f t="shared" si="6"/>
        <v>61.386138613861391</v>
      </c>
      <c r="W24" s="120">
        <f t="shared" si="0"/>
        <v>48.462046204620464</v>
      </c>
      <c r="X24" s="33"/>
      <c r="Y24" s="26"/>
      <c r="Z24" s="181"/>
      <c r="AA24" s="181"/>
      <c r="AB24" s="181"/>
      <c r="AC24" s="181"/>
      <c r="AD24" s="181"/>
      <c r="AE24" s="181"/>
      <c r="AF24" s="181"/>
    </row>
    <row r="25" spans="2:33" s="27" customFormat="1" x14ac:dyDescent="0.2">
      <c r="B25" s="117">
        <v>90</v>
      </c>
      <c r="C25" s="180"/>
      <c r="D25" s="180"/>
      <c r="E25" s="180"/>
      <c r="F25" s="180"/>
      <c r="G25" s="28">
        <v>24</v>
      </c>
      <c r="H25" s="118">
        <f t="shared" si="2"/>
        <v>53</v>
      </c>
      <c r="I25" s="119">
        <v>90</v>
      </c>
      <c r="J25" s="180"/>
      <c r="K25" s="180"/>
      <c r="L25" s="180"/>
      <c r="M25" s="180"/>
      <c r="N25" s="28">
        <v>20</v>
      </c>
      <c r="O25" s="118">
        <f t="shared" si="4"/>
        <v>71</v>
      </c>
      <c r="P25" s="119">
        <v>90</v>
      </c>
      <c r="Q25" s="180"/>
      <c r="R25" s="180"/>
      <c r="S25" s="180"/>
      <c r="T25" s="180"/>
      <c r="U25" s="28">
        <v>14</v>
      </c>
      <c r="V25" s="190">
        <f t="shared" si="6"/>
        <v>84.158415841584159</v>
      </c>
      <c r="W25" s="120">
        <f t="shared" si="0"/>
        <v>69.386138613861377</v>
      </c>
      <c r="X25" s="33"/>
      <c r="Y25" s="26"/>
      <c r="Z25" s="181"/>
      <c r="AA25" s="181"/>
      <c r="AB25" s="181"/>
      <c r="AC25" s="181"/>
      <c r="AD25" s="181"/>
      <c r="AE25" s="181"/>
      <c r="AF25" s="181"/>
    </row>
    <row r="26" spans="2:33" s="27" customFormat="1" x14ac:dyDescent="0.2">
      <c r="B26" s="121">
        <v>128</v>
      </c>
      <c r="C26" s="180"/>
      <c r="D26" s="180"/>
      <c r="E26" s="180"/>
      <c r="F26" s="180"/>
      <c r="G26" s="28">
        <v>22</v>
      </c>
      <c r="H26" s="118">
        <f t="shared" si="2"/>
        <v>77</v>
      </c>
      <c r="I26" s="122">
        <v>128</v>
      </c>
      <c r="J26" s="180"/>
      <c r="K26" s="180"/>
      <c r="L26" s="180"/>
      <c r="M26" s="180"/>
      <c r="N26" s="28">
        <v>9</v>
      </c>
      <c r="O26" s="118">
        <f t="shared" si="4"/>
        <v>91</v>
      </c>
      <c r="P26" s="122">
        <v>128</v>
      </c>
      <c r="Q26" s="180"/>
      <c r="R26" s="180"/>
      <c r="S26" s="180"/>
      <c r="T26" s="180"/>
      <c r="U26" s="28">
        <v>2</v>
      </c>
      <c r="V26" s="190">
        <f t="shared" si="6"/>
        <v>98.019801980198025</v>
      </c>
      <c r="W26" s="120">
        <f t="shared" si="0"/>
        <v>88.673267326732685</v>
      </c>
      <c r="X26" s="33"/>
      <c r="Y26" s="26"/>
      <c r="Z26" s="181"/>
      <c r="AA26" s="181"/>
      <c r="AB26" s="181"/>
      <c r="AC26" s="181"/>
      <c r="AD26" s="181"/>
      <c r="AE26" s="181"/>
      <c r="AF26" s="181"/>
    </row>
    <row r="27" spans="2:33" s="27" customFormat="1" x14ac:dyDescent="0.2">
      <c r="B27" s="121">
        <v>180</v>
      </c>
      <c r="C27" s="180"/>
      <c r="D27" s="180"/>
      <c r="E27" s="180"/>
      <c r="F27" s="180"/>
      <c r="G27" s="28">
        <v>1</v>
      </c>
      <c r="H27" s="118">
        <f t="shared" si="2"/>
        <v>99</v>
      </c>
      <c r="I27" s="122">
        <v>180</v>
      </c>
      <c r="J27" s="180"/>
      <c r="K27" s="180"/>
      <c r="L27" s="180"/>
      <c r="M27" s="180"/>
      <c r="N27" s="28">
        <v>0</v>
      </c>
      <c r="O27" s="118">
        <f t="shared" si="4"/>
        <v>100</v>
      </c>
      <c r="P27" s="122">
        <v>180</v>
      </c>
      <c r="Q27" s="180"/>
      <c r="R27" s="180"/>
      <c r="S27" s="180"/>
      <c r="T27" s="180"/>
      <c r="U27" s="28">
        <v>0</v>
      </c>
      <c r="V27" s="190">
        <f t="shared" si="6"/>
        <v>100</v>
      </c>
      <c r="W27" s="120">
        <f>AVERAGE(H27,V27,O27)</f>
        <v>99.666666666666671</v>
      </c>
      <c r="X27" s="33"/>
      <c r="Y27" s="26"/>
      <c r="Z27" s="181"/>
      <c r="AA27" s="181"/>
      <c r="AB27" s="181"/>
      <c r="AC27" s="181"/>
      <c r="AD27" s="181"/>
      <c r="AE27" s="181"/>
      <c r="AF27" s="181"/>
    </row>
    <row r="28" spans="2:33" s="27" customFormat="1" x14ac:dyDescent="0.2">
      <c r="B28" s="121">
        <v>256</v>
      </c>
      <c r="C28" s="180"/>
      <c r="D28" s="180"/>
      <c r="E28" s="180"/>
      <c r="F28" s="180"/>
      <c r="G28" s="28">
        <v>0</v>
      </c>
      <c r="H28" s="118">
        <f t="shared" si="2"/>
        <v>100</v>
      </c>
      <c r="I28" s="122">
        <v>256</v>
      </c>
      <c r="J28" s="180"/>
      <c r="K28" s="180"/>
      <c r="L28" s="180"/>
      <c r="M28" s="180"/>
      <c r="N28" s="28">
        <f t="shared" si="3"/>
        <v>0</v>
      </c>
      <c r="O28" s="118">
        <f t="shared" si="4"/>
        <v>100</v>
      </c>
      <c r="P28" s="122">
        <v>256</v>
      </c>
      <c r="Q28" s="180"/>
      <c r="R28" s="180"/>
      <c r="S28" s="180"/>
      <c r="T28" s="180"/>
      <c r="U28" s="28">
        <f t="shared" si="5"/>
        <v>0</v>
      </c>
      <c r="V28" s="152">
        <f t="shared" si="6"/>
        <v>100</v>
      </c>
      <c r="W28" s="120">
        <f>AVERAGE(H28,V28,O28)</f>
        <v>100</v>
      </c>
      <c r="X28" s="33"/>
      <c r="Y28" s="26"/>
      <c r="Z28" s="181"/>
      <c r="AA28" s="181"/>
      <c r="AB28" s="181"/>
      <c r="AC28" s="181"/>
      <c r="AD28" s="181"/>
      <c r="AE28" s="181"/>
      <c r="AF28" s="181"/>
    </row>
    <row r="29" spans="2:33" s="27" customFormat="1" ht="17.25" x14ac:dyDescent="0.25">
      <c r="B29" s="121">
        <v>360</v>
      </c>
      <c r="C29" s="180"/>
      <c r="D29" s="180"/>
      <c r="E29" s="180"/>
      <c r="F29" s="180"/>
      <c r="G29" s="28">
        <f t="shared" si="1"/>
        <v>0</v>
      </c>
      <c r="H29" s="118">
        <f t="shared" si="2"/>
        <v>100</v>
      </c>
      <c r="I29" s="122">
        <v>360</v>
      </c>
      <c r="J29" s="180"/>
      <c r="K29" s="180"/>
      <c r="L29" s="180"/>
      <c r="M29" s="180"/>
      <c r="N29" s="28">
        <f t="shared" si="3"/>
        <v>0</v>
      </c>
      <c r="O29" s="118">
        <f t="shared" si="4"/>
        <v>100</v>
      </c>
      <c r="P29" s="122">
        <v>360</v>
      </c>
      <c r="Q29" s="180"/>
      <c r="R29" s="180"/>
      <c r="S29" s="180"/>
      <c r="T29" s="180"/>
      <c r="U29" s="28">
        <f t="shared" si="5"/>
        <v>0</v>
      </c>
      <c r="V29" s="152">
        <f t="shared" si="6"/>
        <v>100</v>
      </c>
      <c r="W29" s="120">
        <f>AVERAGE(V29,O29,H29)</f>
        <v>100</v>
      </c>
      <c r="X29" s="33"/>
      <c r="Y29" s="26"/>
      <c r="Z29" s="181"/>
      <c r="AA29" s="181"/>
      <c r="AB29" s="181"/>
      <c r="AC29" s="181"/>
      <c r="AD29" s="181"/>
      <c r="AE29" s="181"/>
      <c r="AF29" s="181"/>
      <c r="AG29" s="34"/>
    </row>
    <row r="30" spans="2:33" s="27" customFormat="1" ht="18" thickBot="1" x14ac:dyDescent="0.3">
      <c r="B30" s="125">
        <v>512</v>
      </c>
      <c r="C30" s="169"/>
      <c r="D30" s="170"/>
      <c r="E30" s="170"/>
      <c r="F30" s="171"/>
      <c r="G30" s="149">
        <f t="shared" si="1"/>
        <v>0</v>
      </c>
      <c r="H30" s="150">
        <f t="shared" si="2"/>
        <v>100</v>
      </c>
      <c r="I30" s="125">
        <v>512</v>
      </c>
      <c r="J30" s="169"/>
      <c r="K30" s="170"/>
      <c r="L30" s="170"/>
      <c r="M30" s="171"/>
      <c r="N30" s="149">
        <f t="shared" si="3"/>
        <v>0</v>
      </c>
      <c r="O30" s="150">
        <f t="shared" si="4"/>
        <v>100</v>
      </c>
      <c r="P30" s="125">
        <v>512</v>
      </c>
      <c r="Q30" s="169"/>
      <c r="R30" s="170"/>
      <c r="S30" s="170"/>
      <c r="T30" s="171"/>
      <c r="U30" s="149">
        <f t="shared" si="5"/>
        <v>0</v>
      </c>
      <c r="V30" s="153">
        <f t="shared" si="6"/>
        <v>100</v>
      </c>
      <c r="W30" s="126">
        <f>AVERAGE(V30,O30,H30)</f>
        <v>100</v>
      </c>
      <c r="X30" s="33"/>
      <c r="Y30" s="26"/>
      <c r="Z30" s="173"/>
      <c r="AA30" s="174"/>
      <c r="AB30" s="174"/>
      <c r="AC30" s="174"/>
      <c r="AD30" s="174"/>
      <c r="AE30" s="174"/>
      <c r="AF30" s="175"/>
      <c r="AG30" s="34"/>
    </row>
    <row r="31" spans="2:33" s="27" customFormat="1" ht="13.9" x14ac:dyDescent="0.25">
      <c r="H31" s="35"/>
      <c r="Y31" s="26"/>
      <c r="Z31" s="173"/>
      <c r="AA31" s="174"/>
      <c r="AB31" s="174"/>
      <c r="AC31" s="174"/>
      <c r="AD31" s="174"/>
      <c r="AE31" s="174"/>
      <c r="AF31" s="175"/>
    </row>
    <row r="32" spans="2:33" s="27" customFormat="1" ht="14.45" thickBot="1" x14ac:dyDescent="0.3">
      <c r="C32" s="172" t="s">
        <v>21</v>
      </c>
      <c r="D32" s="172"/>
      <c r="E32" s="172"/>
      <c r="F32" s="172"/>
      <c r="G32" s="172"/>
      <c r="H32" s="172"/>
      <c r="I32" s="36"/>
      <c r="J32" s="172" t="s">
        <v>22</v>
      </c>
      <c r="K32" s="172"/>
      <c r="L32" s="172"/>
      <c r="M32" s="172"/>
      <c r="N32" s="172"/>
      <c r="O32" s="172"/>
      <c r="P32" s="36"/>
      <c r="Q32" s="172" t="s">
        <v>23</v>
      </c>
      <c r="R32" s="172"/>
      <c r="S32" s="172"/>
      <c r="T32" s="172"/>
      <c r="U32" s="172"/>
      <c r="V32" s="172"/>
      <c r="Y32" s="26"/>
      <c r="Z32" s="173"/>
      <c r="AA32" s="174"/>
      <c r="AB32" s="174"/>
      <c r="AC32" s="174"/>
      <c r="AD32" s="174"/>
      <c r="AE32" s="174"/>
      <c r="AF32" s="175"/>
    </row>
    <row r="33" spans="2:34" s="27" customFormat="1" ht="13.9" x14ac:dyDescent="0.25">
      <c r="C33" s="37"/>
      <c r="D33" s="38"/>
      <c r="E33" s="38"/>
      <c r="F33" s="38"/>
      <c r="G33" s="178"/>
      <c r="H33" s="179"/>
      <c r="I33" s="30"/>
      <c r="J33" s="37"/>
      <c r="K33" s="38"/>
      <c r="L33" s="38"/>
      <c r="M33" s="38"/>
      <c r="N33" s="178"/>
      <c r="O33" s="179"/>
      <c r="Q33" s="37"/>
      <c r="R33" s="38"/>
      <c r="S33" s="38"/>
      <c r="T33" s="38"/>
      <c r="U33" s="178"/>
      <c r="V33" s="179"/>
      <c r="Y33" s="26"/>
      <c r="Z33" s="173"/>
      <c r="AA33" s="174"/>
      <c r="AB33" s="174"/>
      <c r="AC33" s="174"/>
      <c r="AD33" s="174"/>
      <c r="AE33" s="174"/>
      <c r="AF33" s="175"/>
    </row>
    <row r="34" spans="2:34" s="27" customFormat="1" ht="13.9" x14ac:dyDescent="0.25">
      <c r="C34" s="39"/>
      <c r="D34" s="40"/>
      <c r="E34" s="40"/>
      <c r="F34" s="40"/>
      <c r="G34" s="176"/>
      <c r="H34" s="177"/>
      <c r="I34" s="30"/>
      <c r="J34" s="39"/>
      <c r="K34" s="40"/>
      <c r="L34" s="40"/>
      <c r="M34" s="40"/>
      <c r="N34" s="176"/>
      <c r="O34" s="177"/>
      <c r="Q34" s="39"/>
      <c r="R34" s="40"/>
      <c r="S34" s="40"/>
      <c r="T34" s="40"/>
      <c r="U34" s="176"/>
      <c r="V34" s="177"/>
      <c r="Y34" s="56"/>
      <c r="Z34" s="173"/>
      <c r="AA34" s="174"/>
      <c r="AB34" s="174"/>
      <c r="AC34" s="174"/>
      <c r="AD34" s="174"/>
      <c r="AE34" s="174"/>
      <c r="AF34" s="175"/>
    </row>
    <row r="35" spans="2:34" s="27" customFormat="1" ht="13.9" x14ac:dyDescent="0.25">
      <c r="C35" s="39"/>
      <c r="D35" s="40"/>
      <c r="E35" s="40"/>
      <c r="F35" s="40"/>
      <c r="G35" s="176"/>
      <c r="H35" s="177"/>
      <c r="I35" s="30"/>
      <c r="J35" s="39"/>
      <c r="K35" s="40"/>
      <c r="L35" s="40"/>
      <c r="M35" s="40"/>
      <c r="N35" s="176"/>
      <c r="O35" s="177"/>
      <c r="Q35" s="39"/>
      <c r="R35" s="40"/>
      <c r="S35" s="40"/>
      <c r="T35" s="40"/>
      <c r="U35" s="176"/>
      <c r="V35" s="177"/>
      <c r="Y35" s="26"/>
      <c r="Z35" s="173"/>
      <c r="AA35" s="174"/>
      <c r="AB35" s="174"/>
      <c r="AC35" s="174"/>
      <c r="AD35" s="174"/>
      <c r="AE35" s="174"/>
      <c r="AF35" s="175"/>
    </row>
    <row r="36" spans="2:34" s="27" customFormat="1" ht="14.45" thickBot="1" x14ac:dyDescent="0.3">
      <c r="C36" s="43"/>
      <c r="D36" s="44"/>
      <c r="E36" s="44"/>
      <c r="F36" s="44"/>
      <c r="G36" s="166"/>
      <c r="H36" s="167"/>
      <c r="I36" s="30"/>
      <c r="J36" s="43"/>
      <c r="K36" s="44"/>
      <c r="L36" s="44"/>
      <c r="M36" s="44"/>
      <c r="N36" s="45"/>
      <c r="O36" s="46"/>
      <c r="Q36" s="43"/>
      <c r="R36" s="44"/>
      <c r="S36" s="44"/>
      <c r="T36" s="44"/>
      <c r="U36" s="166"/>
      <c r="V36" s="167"/>
      <c r="Z36" s="42"/>
      <c r="AA36" s="168"/>
      <c r="AB36" s="168"/>
      <c r="AC36" s="168"/>
      <c r="AD36" s="36"/>
      <c r="AF36" s="17"/>
    </row>
    <row r="37" spans="2:34" s="27" customFormat="1" ht="13.9" x14ac:dyDescent="0.25">
      <c r="B37" s="1" t="s">
        <v>79</v>
      </c>
      <c r="C37" s="139"/>
      <c r="G37" s="1"/>
      <c r="H37" s="35"/>
      <c r="K37" s="183" t="s">
        <v>116</v>
      </c>
      <c r="L37" s="183"/>
      <c r="M37" s="140">
        <v>604</v>
      </c>
      <c r="N37" s="1"/>
      <c r="R37" s="41"/>
      <c r="S37" s="142" t="s">
        <v>81</v>
      </c>
      <c r="T37" s="141">
        <v>1</v>
      </c>
      <c r="U37" s="27" t="s">
        <v>117</v>
      </c>
      <c r="V37" s="141">
        <v>2</v>
      </c>
      <c r="Y37" s="1" t="s">
        <v>79</v>
      </c>
      <c r="Z37" s="6" t="s">
        <v>130</v>
      </c>
      <c r="AA37" s="1"/>
      <c r="AB37" s="142" t="s">
        <v>116</v>
      </c>
      <c r="AC37" s="6">
        <v>607</v>
      </c>
      <c r="AE37" s="1" t="s">
        <v>81</v>
      </c>
      <c r="AF37" s="129">
        <v>2</v>
      </c>
      <c r="AG37" s="137" t="s">
        <v>117</v>
      </c>
      <c r="AH37" s="143">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101"/>
      <c r="F40" s="101"/>
      <c r="G40" s="101"/>
      <c r="H40" s="102"/>
      <c r="I40" s="101"/>
      <c r="J40" s="101"/>
      <c r="K40" s="101"/>
      <c r="L40" s="101"/>
      <c r="M40" s="101"/>
      <c r="N40" s="101"/>
      <c r="O40" s="101"/>
      <c r="P40" s="101"/>
      <c r="Q40" s="101"/>
      <c r="R40" s="101"/>
      <c r="S40" s="101"/>
      <c r="T40" s="101"/>
      <c r="U40" s="101"/>
      <c r="V40" s="101"/>
      <c r="W40" s="101" t="s">
        <v>87</v>
      </c>
      <c r="X40" s="101"/>
      <c r="Z40" s="30"/>
      <c r="AA40" s="30"/>
      <c r="AB40" s="30"/>
      <c r="AC40" s="31"/>
      <c r="AD40" s="32"/>
      <c r="AF40" s="32"/>
    </row>
    <row r="41" spans="2:34" s="27" customFormat="1" ht="14.45" x14ac:dyDescent="0.3">
      <c r="E41" s="98" t="s">
        <v>82</v>
      </c>
      <c r="F41" s="98" t="s">
        <v>10</v>
      </c>
      <c r="G41" s="101"/>
      <c r="H41" s="101"/>
      <c r="I41" s="101"/>
      <c r="J41" s="101"/>
      <c r="K41" s="101"/>
      <c r="L41" s="98" t="s">
        <v>82</v>
      </c>
      <c r="M41" s="98" t="s">
        <v>10</v>
      </c>
      <c r="N41" s="101"/>
      <c r="O41" s="101"/>
      <c r="P41" s="101"/>
      <c r="Q41" s="101"/>
      <c r="R41" s="101"/>
      <c r="S41" s="98" t="s">
        <v>82</v>
      </c>
      <c r="T41" s="98" t="s">
        <v>10</v>
      </c>
      <c r="U41" s="101"/>
      <c r="V41" s="101"/>
      <c r="W41" s="98" t="s">
        <v>10</v>
      </c>
      <c r="X41" s="105"/>
      <c r="Z41" s="30"/>
      <c r="AA41" s="30"/>
      <c r="AB41" s="30"/>
      <c r="AC41" s="31"/>
      <c r="AD41" s="32"/>
      <c r="AF41" s="32"/>
    </row>
    <row r="42" spans="2:34" s="27" customFormat="1" ht="14.45" x14ac:dyDescent="0.3">
      <c r="E42" s="98">
        <v>16</v>
      </c>
      <c r="F42" s="99">
        <f ca="1">10^(FORECAST(E42,LOG(OFFSET(B$14:B$29,MATCH(E42,H$14:H$29,1)-1,0,2)),OFFSET(H$14:H$29,MATCH(E42,H$14:H$29,1)-1,0,2)))</f>
        <v>46.903870873525356</v>
      </c>
      <c r="G42" s="101"/>
      <c r="H42" s="101"/>
      <c r="I42" s="101"/>
      <c r="J42" s="101"/>
      <c r="K42" s="101"/>
      <c r="L42" s="98">
        <v>16</v>
      </c>
      <c r="M42" s="99">
        <f ca="1">10^(FORECAST(L42,LOG(OFFSET(I$14:I$29,MATCH(L42,O$14:O$29,1)-1,0,2)),OFFSET(O$14:O$29,MATCH(L42,O$14:O$29,1)-1,0,2)))</f>
        <v>34.046340583718255</v>
      </c>
      <c r="N42" s="101"/>
      <c r="O42" s="101"/>
      <c r="P42" s="101"/>
      <c r="Q42" s="101"/>
      <c r="R42" s="101"/>
      <c r="S42" s="98">
        <v>16</v>
      </c>
      <c r="T42" s="99">
        <f ca="1">10^(FORECAST(S42,LOG(OFFSET(P$14:P$29,MATCH(S42,V$14:V$29,1)-1,0,2)),OFFSET(V$14:V$29,MATCH(S42,V$14:V$29,1)-1,0,2)))</f>
        <v>29.793356711919369</v>
      </c>
      <c r="U42" s="101"/>
      <c r="V42" s="103"/>
      <c r="W42" s="99">
        <f ca="1">10^(FORECAST(S42,LOG(OFFSET(P$14:P$29,MATCH(S42,W$14:W$29,1)-1,0,2)),OFFSET(W$14:W$29,MATCH(S42,W$14:W$29,1)-1,0,2)))</f>
        <v>34.056365032794801</v>
      </c>
      <c r="X42" s="99"/>
    </row>
    <row r="43" spans="2:34" s="27" customFormat="1" ht="14.45" x14ac:dyDescent="0.3">
      <c r="E43" s="98">
        <v>50</v>
      </c>
      <c r="F43" s="99">
        <f t="shared" ref="F43:F45" ca="1" si="7">10^(FORECAST(E43,LOG(OFFSET(B$14:B$29,MATCH(E43,H$14:H$29,1)-1,0,2)),OFFSET(H$14:H$29,MATCH(E43,H$14:H$29,1)-1,0,2)))</f>
        <v>85.911670497355004</v>
      </c>
      <c r="G43" s="101"/>
      <c r="H43" s="101"/>
      <c r="I43" s="101"/>
      <c r="J43" s="101"/>
      <c r="K43" s="101"/>
      <c r="L43" s="98">
        <v>50</v>
      </c>
      <c r="M43" s="99">
        <f t="shared" ref="M43:M45" ca="1" si="8">10^(FORECAST(L43,LOG(OFFSET(I$14:I$29,MATCH(L43,O$14:O$29,1)-1,0,2)),OFFSET(O$14:O$29,MATCH(L43,O$14:O$29,1)-1,0,2)))</f>
        <v>60.537881247921426</v>
      </c>
      <c r="N43" s="101"/>
      <c r="O43" s="101"/>
      <c r="P43" s="101"/>
      <c r="Q43" s="101"/>
      <c r="R43" s="101"/>
      <c r="S43" s="98">
        <v>50</v>
      </c>
      <c r="T43" s="99">
        <f t="shared" ref="T43:T45" ca="1" si="9">10^(FORECAST(S43,LOG(OFFSET(P$14:P$29,MATCH(S43,V$14:V$29,1)-1,0,2)),OFFSET(V$14:V$29,MATCH(S43,V$14:V$29,1)-1,0,2)))</f>
        <v>54.427068362806594</v>
      </c>
      <c r="U43" s="101"/>
      <c r="V43" s="103"/>
      <c r="W43" s="99">
        <f t="shared" ref="W43:W45" ca="1" si="10">10^(FORECAST(S43,LOG(OFFSET(P$14:P$29,MATCH(S43,W$14:W$29,1)-1,0,2)),OFFSET(W$14:W$29,MATCH(S43,W$14:W$29,1)-1,0,2)))</f>
        <v>65.624015916490038</v>
      </c>
      <c r="X43" s="99"/>
    </row>
    <row r="44" spans="2:34" s="27" customFormat="1" ht="14.45" x14ac:dyDescent="0.3">
      <c r="E44" s="98">
        <v>84</v>
      </c>
      <c r="F44" s="99">
        <f t="shared" ca="1" si="7"/>
        <v>142.66609576071414</v>
      </c>
      <c r="G44" s="101"/>
      <c r="H44" s="101"/>
      <c r="I44" s="101"/>
      <c r="J44" s="101"/>
      <c r="K44" s="101"/>
      <c r="L44" s="98">
        <v>84</v>
      </c>
      <c r="M44" s="99">
        <f t="shared" ca="1" si="8"/>
        <v>113.15437718874497</v>
      </c>
      <c r="N44" s="101"/>
      <c r="O44" s="101"/>
      <c r="P44" s="101"/>
      <c r="Q44" s="101"/>
      <c r="R44" s="101"/>
      <c r="S44" s="98">
        <v>84</v>
      </c>
      <c r="T44" s="99">
        <f t="shared" ca="1" si="9"/>
        <v>89.786803226171344</v>
      </c>
      <c r="U44" s="101"/>
      <c r="V44" s="103"/>
      <c r="W44" s="99">
        <f t="shared" ca="1" si="10"/>
        <v>117.52925559938936</v>
      </c>
      <c r="X44" s="99"/>
    </row>
    <row r="45" spans="2:34" s="27" customFormat="1" ht="14.45" x14ac:dyDescent="0.3">
      <c r="E45" s="98">
        <v>90</v>
      </c>
      <c r="F45" s="99">
        <f t="shared" ca="1" si="7"/>
        <v>156.5674462341299</v>
      </c>
      <c r="G45" s="101"/>
      <c r="H45" s="101"/>
      <c r="I45" s="101"/>
      <c r="J45" s="101"/>
      <c r="K45" s="101"/>
      <c r="L45" s="98">
        <v>90</v>
      </c>
      <c r="M45" s="99">
        <f t="shared" ca="1" si="8"/>
        <v>125.76552168434722</v>
      </c>
      <c r="N45" s="101"/>
      <c r="O45" s="101"/>
      <c r="P45" s="101"/>
      <c r="Q45" s="101"/>
      <c r="R45" s="101"/>
      <c r="S45" s="98">
        <v>90</v>
      </c>
      <c r="T45" s="99">
        <f t="shared" ca="1" si="9"/>
        <v>104.40165125208904</v>
      </c>
      <c r="U45" s="101"/>
      <c r="V45" s="103"/>
      <c r="W45" s="99">
        <f t="shared" ca="1" si="10"/>
        <v>133.37634734367037</v>
      </c>
      <c r="X45" s="99"/>
    </row>
    <row r="46" spans="2:34" s="27" customFormat="1" ht="14.45" x14ac:dyDescent="0.3">
      <c r="E46" s="100"/>
      <c r="F46" s="100"/>
      <c r="G46" s="101"/>
      <c r="H46" s="101"/>
      <c r="I46" s="101"/>
      <c r="J46" s="101"/>
      <c r="K46" s="101"/>
      <c r="L46" s="100"/>
      <c r="M46" s="100"/>
      <c r="N46" s="101"/>
      <c r="O46" s="101"/>
      <c r="P46" s="101"/>
      <c r="Q46" s="101"/>
      <c r="R46" s="101"/>
      <c r="S46" s="100"/>
      <c r="T46" s="100"/>
      <c r="U46" s="101"/>
      <c r="V46" s="101"/>
      <c r="W46" s="100"/>
      <c r="X46" s="100"/>
    </row>
    <row r="47" spans="2:34" s="27" customFormat="1" ht="14.45" x14ac:dyDescent="0.3">
      <c r="E47" s="98" t="s">
        <v>83</v>
      </c>
      <c r="F47" s="99">
        <f ca="1">0.5*(F44/F43+F43/F42)</f>
        <v>1.7461339257940698</v>
      </c>
      <c r="G47" s="101"/>
      <c r="H47" s="101"/>
      <c r="I47" s="101"/>
      <c r="J47" s="101"/>
      <c r="K47" s="101"/>
      <c r="L47" s="98" t="s">
        <v>83</v>
      </c>
      <c r="M47" s="99">
        <f ca="1">0.5*(M44/M43+M43/M42)</f>
        <v>1.8236261904636173</v>
      </c>
      <c r="N47" s="101"/>
      <c r="O47" s="101"/>
      <c r="P47" s="101"/>
      <c r="Q47" s="101"/>
      <c r="R47" s="101"/>
      <c r="S47" s="98" t="s">
        <v>83</v>
      </c>
      <c r="T47" s="99">
        <f ca="1">0.5*(T44/T43+T43/T42)</f>
        <v>1.7382454017475932</v>
      </c>
      <c r="U47" s="101"/>
      <c r="V47" s="101"/>
      <c r="W47" s="99">
        <f ca="1">0.5*(W44/W43+W43/W42)</f>
        <v>1.8589362584848272</v>
      </c>
      <c r="X47" s="99"/>
    </row>
    <row r="48" spans="2:34" s="27" customFormat="1" ht="14.45" x14ac:dyDescent="0.3">
      <c r="E48" s="100"/>
      <c r="F48" s="99"/>
      <c r="G48" s="101"/>
      <c r="H48" s="101"/>
      <c r="I48" s="101"/>
      <c r="J48" s="101"/>
      <c r="K48" s="101"/>
      <c r="L48" s="100"/>
      <c r="M48" s="99"/>
      <c r="N48" s="101"/>
      <c r="O48" s="101"/>
      <c r="P48" s="101"/>
      <c r="Q48" s="101"/>
      <c r="R48" s="101"/>
      <c r="S48" s="100"/>
      <c r="T48" s="99"/>
      <c r="U48" s="101"/>
      <c r="V48" s="101"/>
      <c r="W48" s="99"/>
      <c r="X48" s="99"/>
    </row>
    <row r="49" spans="5:24" s="27" customFormat="1" ht="14.45" x14ac:dyDescent="0.3">
      <c r="E49" s="100" t="s">
        <v>85</v>
      </c>
      <c r="F49" s="99">
        <f>H13</f>
        <v>3</v>
      </c>
      <c r="G49" s="101"/>
      <c r="H49" s="101"/>
      <c r="I49" s="101"/>
      <c r="J49" s="101"/>
      <c r="K49" s="101"/>
      <c r="L49" s="100" t="s">
        <v>85</v>
      </c>
      <c r="M49" s="99">
        <f>O13</f>
        <v>4</v>
      </c>
      <c r="N49" s="101"/>
      <c r="O49" s="101"/>
      <c r="P49" s="101"/>
      <c r="Q49" s="101"/>
      <c r="R49" s="101"/>
      <c r="S49" s="100" t="s">
        <v>85</v>
      </c>
      <c r="T49" s="99">
        <f>V13</f>
        <v>4</v>
      </c>
      <c r="U49" s="101"/>
      <c r="V49" s="101"/>
      <c r="W49" s="99">
        <f>AVERAGE(T49,M49,F49)</f>
        <v>3.6666666666666665</v>
      </c>
      <c r="X49" s="99"/>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Z33:AF33"/>
    <mergeCell ref="C27:F27"/>
    <mergeCell ref="J27:M27"/>
    <mergeCell ref="Q27:T27"/>
    <mergeCell ref="Z27:AF27"/>
    <mergeCell ref="J30:M30"/>
    <mergeCell ref="Q30:T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0"/>
      <c r="D6" s="189" t="s">
        <v>88</v>
      </c>
      <c r="E6" s="189"/>
      <c r="F6" s="189"/>
      <c r="G6" s="189"/>
      <c r="H6" s="98" t="s">
        <v>89</v>
      </c>
    </row>
    <row r="7" spans="3:8" x14ac:dyDescent="0.25">
      <c r="C7" s="100"/>
      <c r="D7" s="98" t="s">
        <v>11</v>
      </c>
      <c r="E7" s="98" t="s">
        <v>14</v>
      </c>
      <c r="F7" s="98" t="s">
        <v>15</v>
      </c>
      <c r="G7" s="98" t="s">
        <v>90</v>
      </c>
      <c r="H7" s="98" t="s">
        <v>91</v>
      </c>
    </row>
    <row r="8" spans="3:8" x14ac:dyDescent="0.25">
      <c r="C8" s="100" t="s">
        <v>92</v>
      </c>
      <c r="D8" s="99">
        <f ca="1">Surface!F42</f>
        <v>46.903870873525356</v>
      </c>
      <c r="E8" s="99">
        <f ca="1">Surface!M42</f>
        <v>34.046340583718255</v>
      </c>
      <c r="F8" s="99">
        <f ca="1">Surface!T42</f>
        <v>29.793356711919369</v>
      </c>
      <c r="G8" s="99">
        <f ca="1">Surface!W42</f>
        <v>34.056365032794801</v>
      </c>
      <c r="H8" s="99">
        <f ca="1">SubS!AC32</f>
        <v>2.4593227636157873</v>
      </c>
    </row>
    <row r="9" spans="3:8" x14ac:dyDescent="0.25">
      <c r="C9" s="100" t="s">
        <v>93</v>
      </c>
      <c r="D9" s="99">
        <f ca="1">Surface!F43</f>
        <v>85.911670497355004</v>
      </c>
      <c r="E9" s="99">
        <f ca="1">Surface!M43</f>
        <v>60.537881247921426</v>
      </c>
      <c r="F9" s="99">
        <f ca="1">Surface!T43</f>
        <v>54.427068362806594</v>
      </c>
      <c r="G9" s="99">
        <f ca="1">Surface!W43</f>
        <v>65.624015916490038</v>
      </c>
      <c r="H9" s="99">
        <f ca="1">SubS!AC33</f>
        <v>35.511309553039993</v>
      </c>
    </row>
    <row r="10" spans="3:8" x14ac:dyDescent="0.25">
      <c r="C10" s="100" t="s">
        <v>94</v>
      </c>
      <c r="D10" s="99">
        <f ca="1">Surface!F44</f>
        <v>142.66609576071414</v>
      </c>
      <c r="E10" s="99">
        <f ca="1">Surface!M44</f>
        <v>113.15437718874497</v>
      </c>
      <c r="F10" s="99">
        <f ca="1">Surface!T44</f>
        <v>89.786803226171344</v>
      </c>
      <c r="G10" s="99">
        <f ca="1">Surface!W44</f>
        <v>117.52925559938936</v>
      </c>
      <c r="H10" s="99">
        <f ca="1">SubS!AC34</f>
        <v>81.310141349980682</v>
      </c>
    </row>
    <row r="11" spans="3:8" x14ac:dyDescent="0.25">
      <c r="C11" s="100" t="s">
        <v>95</v>
      </c>
      <c r="D11" s="99">
        <f ca="1">Surface!F45</f>
        <v>156.5674462341299</v>
      </c>
      <c r="E11" s="99">
        <f ca="1">Surface!M45</f>
        <v>125.76552168434722</v>
      </c>
      <c r="F11" s="99">
        <f ca="1">Surface!T45</f>
        <v>104.40165125208904</v>
      </c>
      <c r="G11" s="99">
        <f ca="1">Surface!W45</f>
        <v>133.37634734367037</v>
      </c>
      <c r="H11" s="99">
        <f ca="1">SubS!AC35</f>
        <v>93.162213036449558</v>
      </c>
    </row>
    <row r="12" spans="3:8" x14ac:dyDescent="0.25">
      <c r="C12" s="100"/>
      <c r="D12" s="99"/>
      <c r="E12" s="99"/>
      <c r="F12" s="99"/>
      <c r="G12" s="99"/>
      <c r="H12" s="99"/>
    </row>
    <row r="13" spans="3:8" x14ac:dyDescent="0.25">
      <c r="C13" s="100" t="s">
        <v>96</v>
      </c>
      <c r="D13" s="99">
        <f ca="1">Surface!F47</f>
        <v>1.7461339257940698</v>
      </c>
      <c r="E13" s="99">
        <f ca="1">Surface!M47</f>
        <v>1.8236261904636173</v>
      </c>
      <c r="F13" s="99">
        <f ca="1">Surface!T47</f>
        <v>1.7382454017475932</v>
      </c>
      <c r="G13" s="99">
        <f ca="1">Surface!W47</f>
        <v>1.8589362584848272</v>
      </c>
      <c r="H13" s="99">
        <f ca="1">SubS!AC37</f>
        <v>8.3645819657820191</v>
      </c>
    </row>
    <row r="14" spans="3:8" x14ac:dyDescent="0.25">
      <c r="C14" s="100" t="s">
        <v>97</v>
      </c>
      <c r="D14" s="99">
        <f>Surface!F49</f>
        <v>3</v>
      </c>
      <c r="E14" s="99">
        <f>Surface!M49</f>
        <v>4</v>
      </c>
      <c r="F14" s="99">
        <f>Surface!T49</f>
        <v>4</v>
      </c>
      <c r="G14" s="99">
        <f>Surface!W49</f>
        <v>3.6666666666666665</v>
      </c>
      <c r="H14" s="100"/>
    </row>
    <row r="15" spans="3:8" x14ac:dyDescent="0.25">
      <c r="C15" s="100"/>
      <c r="D15" s="100"/>
      <c r="E15" s="100"/>
      <c r="F15" s="100"/>
      <c r="G15" s="100"/>
      <c r="H15" s="100"/>
    </row>
    <row r="16" spans="3:8" x14ac:dyDescent="0.25">
      <c r="C16" s="100" t="s">
        <v>98</v>
      </c>
      <c r="D16" s="100"/>
      <c r="E16" s="100"/>
      <c r="F16" s="100"/>
      <c r="G16" s="100"/>
      <c r="H16" s="99">
        <f>SubS!AC38</f>
        <v>84.830998103475508</v>
      </c>
    </row>
    <row r="17" spans="3:8" x14ac:dyDescent="0.25">
      <c r="C17" s="100" t="s">
        <v>99</v>
      </c>
      <c r="D17" s="100"/>
      <c r="E17" s="100"/>
      <c r="F17" s="100"/>
      <c r="G17" s="100"/>
      <c r="H17" s="99">
        <f>SubS!AC39</f>
        <v>14.395073228334466</v>
      </c>
    </row>
    <row r="18" spans="3:8" x14ac:dyDescent="0.25">
      <c r="C18" s="100" t="s">
        <v>100</v>
      </c>
      <c r="D18" s="100"/>
      <c r="E18" s="100"/>
      <c r="F18" s="100"/>
      <c r="G18" s="100"/>
      <c r="H18" s="99">
        <f>SubS!AC40</f>
        <v>0.77392866819002515</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04" t="s">
        <v>101</v>
      </c>
    </row>
    <row r="2" spans="1:1" x14ac:dyDescent="0.25">
      <c r="A2" s="104"/>
    </row>
    <row r="3" spans="1:1" x14ac:dyDescent="0.25">
      <c r="A3" s="104" t="s">
        <v>104</v>
      </c>
    </row>
    <row r="4" spans="1:1" x14ac:dyDescent="0.25">
      <c r="A4" s="104"/>
    </row>
    <row r="5" spans="1:1" x14ac:dyDescent="0.25">
      <c r="A5" s="104" t="s">
        <v>105</v>
      </c>
    </row>
    <row r="6" spans="1:1" x14ac:dyDescent="0.25">
      <c r="A6" s="104"/>
    </row>
    <row r="7" spans="1:1" x14ac:dyDescent="0.25">
      <c r="A7" s="104" t="s">
        <v>102</v>
      </c>
    </row>
    <row r="8" spans="1:1" x14ac:dyDescent="0.25">
      <c r="A8" s="104"/>
    </row>
    <row r="9" spans="1:1" x14ac:dyDescent="0.25">
      <c r="A9" s="104"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2014-12-18T16:57:45Z</dcterms:modified>
</cp:coreProperties>
</file>