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GEOMORPHIC REACHES - QC2\MR-2 (169.6-184.6)\"/>
    </mc:Choice>
  </mc:AlternateContent>
  <bookViews>
    <workbookView xWindow="-15" yWindow="-15" windowWidth="12615" windowHeight="8730" activeTab="4"/>
  </bookViews>
  <sheets>
    <sheet name="SubS" sheetId="1"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SubS!$B$1:$J$53</definedName>
  </definedNames>
  <calcPr calcId="152511"/>
</workbook>
</file>

<file path=xl/calcChain.xml><?xml version="1.0" encoding="utf-8"?>
<calcChain xmlns="http://schemas.openxmlformats.org/spreadsheetml/2006/main">
  <c r="AA28" i="1" l="1"/>
  <c r="AA19" i="1"/>
  <c r="AA18" i="1"/>
  <c r="AA17" i="1"/>
  <c r="AA16" i="1"/>
  <c r="AA15" i="1"/>
  <c r="AA14" i="1"/>
  <c r="AA13" i="1"/>
  <c r="H13" i="2" l="1"/>
  <c r="O13" i="2"/>
  <c r="E25" i="1" l="1"/>
  <c r="E24" i="1"/>
  <c r="E23" i="1"/>
  <c r="E22" i="1"/>
  <c r="E21" i="1"/>
  <c r="E20" i="1"/>
  <c r="E19" i="1"/>
  <c r="E18" i="1"/>
  <c r="E17" i="1"/>
  <c r="E16" i="1"/>
  <c r="Z6" i="2" l="1"/>
  <c r="E45" i="1"/>
  <c r="D44" i="1"/>
  <c r="C44" i="1"/>
  <c r="E33" i="1"/>
  <c r="E34" i="1"/>
  <c r="E35" i="1"/>
  <c r="E36" i="1"/>
  <c r="E37" i="1"/>
  <c r="E38" i="1"/>
  <c r="E39" i="1"/>
  <c r="E40" i="1"/>
  <c r="E41" i="1"/>
  <c r="E42" i="1"/>
  <c r="E43" i="1"/>
  <c r="E32" i="1"/>
  <c r="F32" i="1" s="1"/>
  <c r="F33" i="1" s="1"/>
  <c r="F34" i="1" s="1"/>
  <c r="E44" i="1" l="1"/>
  <c r="F35" i="1"/>
  <c r="F36" i="1" s="1"/>
  <c r="F37" i="1" s="1"/>
  <c r="F38" i="1" s="1"/>
  <c r="F39" i="1" s="1"/>
  <c r="F40" i="1" s="1"/>
  <c r="F41" i="1" s="1"/>
  <c r="F42" i="1" s="1"/>
  <c r="F43" i="1" s="1"/>
  <c r="E26" i="1"/>
  <c r="H48" i="1" s="1"/>
  <c r="Z5" i="2"/>
  <c r="Z4" i="2"/>
  <c r="U14" i="2" l="1"/>
  <c r="V13" i="2"/>
  <c r="N14" i="2"/>
  <c r="G14" i="2"/>
  <c r="U15" i="2" l="1"/>
  <c r="G15" i="2"/>
  <c r="H15" i="2" s="1"/>
  <c r="H16" i="2" s="1"/>
  <c r="H17" i="2" s="1"/>
  <c r="H18" i="2" s="1"/>
  <c r="H19" i="2" s="1"/>
  <c r="H20" i="2" s="1"/>
  <c r="H21" i="2" s="1"/>
  <c r="H22" i="2" s="1"/>
  <c r="H23" i="2" s="1"/>
  <c r="H24" i="2" s="1"/>
  <c r="H25" i="2" s="1"/>
  <c r="H26" i="2" s="1"/>
  <c r="H27" i="2" s="1"/>
  <c r="H28" i="2" s="1"/>
  <c r="H29" i="2" s="1"/>
  <c r="H30" i="2" s="1"/>
  <c r="N28" i="2"/>
  <c r="N29" i="2" s="1"/>
  <c r="N30" i="2" s="1"/>
  <c r="G28" i="2"/>
  <c r="G29" i="2" s="1"/>
  <c r="G30" i="2" s="1"/>
  <c r="F49" i="2"/>
  <c r="T49" i="2"/>
  <c r="U28" i="2" l="1"/>
  <c r="O15" i="2"/>
  <c r="O16" i="2" s="1"/>
  <c r="O17" i="2" s="1"/>
  <c r="O18" i="2" s="1"/>
  <c r="O19" i="2" s="1"/>
  <c r="O20" i="2" s="1"/>
  <c r="O21" i="2" s="1"/>
  <c r="O22" i="2" s="1"/>
  <c r="O23" i="2" s="1"/>
  <c r="O24" i="2" s="1"/>
  <c r="O25" i="2" s="1"/>
  <c r="O26" i="2" s="1"/>
  <c r="O27" i="2" s="1"/>
  <c r="O28" i="2" s="1"/>
  <c r="O29" i="2" s="1"/>
  <c r="O30" i="2" s="1"/>
  <c r="F14" i="3"/>
  <c r="D14" i="3"/>
  <c r="W14" i="2"/>
  <c r="AB17" i="1"/>
  <c r="AD4" i="1"/>
  <c r="AB5" i="1" s="1"/>
  <c r="AB18" i="1"/>
  <c r="AB16" i="1"/>
  <c r="AB15" i="1"/>
  <c r="AB14" i="1"/>
  <c r="AB13" i="1"/>
  <c r="AA12" i="1"/>
  <c r="AB12" i="1" s="1"/>
  <c r="AA11" i="1"/>
  <c r="AB11" i="1" s="1"/>
  <c r="U29" i="2" l="1"/>
  <c r="F42" i="2"/>
  <c r="D8" i="3" s="1"/>
  <c r="F43" i="2"/>
  <c r="D9" i="3" s="1"/>
  <c r="F45" i="2"/>
  <c r="F44" i="2"/>
  <c r="AB19" i="1"/>
  <c r="AB3" i="1"/>
  <c r="AB28" i="1"/>
  <c r="M49" i="2"/>
  <c r="E14" i="3" s="1"/>
  <c r="W13" i="2"/>
  <c r="AA10" i="1"/>
  <c r="D26" i="1"/>
  <c r="C26" i="1"/>
  <c r="U30" i="2" l="1"/>
  <c r="V15" i="2" s="1"/>
  <c r="W15" i="2" s="1"/>
  <c r="F47" i="2"/>
  <c r="AB10" i="1"/>
  <c r="AB29" i="1" s="1"/>
  <c r="AA29" i="1"/>
  <c r="W49" i="2"/>
  <c r="G14" i="3" s="1"/>
  <c r="M42" i="2"/>
  <c r="E8" i="3" s="1"/>
  <c r="M45" i="2"/>
  <c r="E11" i="3" s="1"/>
  <c r="M44" i="2"/>
  <c r="E10" i="3" s="1"/>
  <c r="M43" i="2"/>
  <c r="E9" i="3" s="1"/>
  <c r="D11" i="3"/>
  <c r="AC10" i="1"/>
  <c r="V16" i="2" l="1"/>
  <c r="V17" i="2" s="1"/>
  <c r="V18" i="2" s="1"/>
  <c r="V19" i="2" s="1"/>
  <c r="V20" i="2" s="1"/>
  <c r="V21" i="2" s="1"/>
  <c r="V22" i="2" s="1"/>
  <c r="V23" i="2" s="1"/>
  <c r="V24" i="2" s="1"/>
  <c r="V25" i="2" s="1"/>
  <c r="V26" i="2" s="1"/>
  <c r="V27" i="2" s="1"/>
  <c r="V28" i="2" s="1"/>
  <c r="V29" i="2" s="1"/>
  <c r="V30" i="2" s="1"/>
  <c r="W30" i="2" s="1"/>
  <c r="D13" i="3"/>
  <c r="D10" i="3"/>
  <c r="M47" i="2"/>
  <c r="E13" i="3" s="1"/>
  <c r="AD10" i="1"/>
  <c r="AG10" i="1" s="1"/>
  <c r="AC11" i="1"/>
  <c r="T45" i="2" l="1"/>
  <c r="T44" i="2"/>
  <c r="T42" i="2"/>
  <c r="W17" i="2"/>
  <c r="W16" i="2"/>
  <c r="T43" i="2"/>
  <c r="W18" i="2"/>
  <c r="AD11" i="1"/>
  <c r="AG11" i="1" s="1"/>
  <c r="AC12" i="1"/>
  <c r="T47" i="2" l="1"/>
  <c r="W19" i="2"/>
  <c r="AD12" i="1"/>
  <c r="AG12" i="1" s="1"/>
  <c r="AC13" i="1"/>
  <c r="W20" i="2" l="1"/>
  <c r="AD13" i="1"/>
  <c r="AG13" i="1" s="1"/>
  <c r="AC14" i="1"/>
  <c r="W21" i="2" l="1"/>
  <c r="AD14" i="1"/>
  <c r="AG14" i="1" s="1"/>
  <c r="AC15" i="1"/>
  <c r="W22" i="2" l="1"/>
  <c r="AD15" i="1"/>
  <c r="AG15" i="1" s="1"/>
  <c r="AC16" i="1"/>
  <c r="W23" i="2" l="1"/>
  <c r="AD16" i="1"/>
  <c r="AG16" i="1" s="1"/>
  <c r="AC17" i="1"/>
  <c r="W24" i="2" l="1"/>
  <c r="AD17" i="1"/>
  <c r="AG17" i="1" s="1"/>
  <c r="AC18" i="1"/>
  <c r="W25" i="2" l="1"/>
  <c r="F8" i="3"/>
  <c r="F9" i="3"/>
  <c r="AD18" i="1"/>
  <c r="AG18" i="1" s="1"/>
  <c r="AC19" i="1"/>
  <c r="AD19" i="1" s="1"/>
  <c r="W26" i="2" l="1"/>
  <c r="AG19" i="1"/>
  <c r="AF21" i="1"/>
  <c r="AG21" i="1" s="1"/>
  <c r="AF26" i="1"/>
  <c r="AG26" i="1" s="1"/>
  <c r="AF24" i="1"/>
  <c r="AG24" i="1" s="1"/>
  <c r="AF22" i="1"/>
  <c r="AG22" i="1" s="1"/>
  <c r="AF20" i="1"/>
  <c r="AG20" i="1" s="1"/>
  <c r="AF27" i="1"/>
  <c r="AG27" i="1" s="1"/>
  <c r="AF25" i="1"/>
  <c r="AG25" i="1" s="1"/>
  <c r="AF23" i="1"/>
  <c r="AG23" i="1" s="1"/>
  <c r="AF19" i="1"/>
  <c r="AB35" i="1" l="1"/>
  <c r="H11" i="3" s="1"/>
  <c r="AB33" i="1"/>
  <c r="H9" i="3" s="1"/>
  <c r="AB34" i="1"/>
  <c r="H10" i="3" s="1"/>
  <c r="W27" i="2"/>
  <c r="F11" i="3"/>
  <c r="AB40" i="1"/>
  <c r="H18" i="3" s="1"/>
  <c r="AB32" i="1"/>
  <c r="AB38" i="1"/>
  <c r="H16" i="3" s="1"/>
  <c r="AB39" i="1"/>
  <c r="H17" i="3" s="1"/>
  <c r="AB37" i="1" l="1"/>
  <c r="H13" i="3" s="1"/>
  <c r="H8" i="3"/>
  <c r="F13" i="3"/>
  <c r="F10" i="3"/>
  <c r="W29" i="2"/>
  <c r="W28" i="2"/>
  <c r="W42" i="2" l="1"/>
  <c r="G8" i="3" s="1"/>
  <c r="W45" i="2"/>
  <c r="G11" i="3" s="1"/>
  <c r="W44" i="2"/>
  <c r="G10" i="3" s="1"/>
  <c r="W43" i="2"/>
  <c r="G9" i="3" s="1"/>
  <c r="W47" i="2" l="1"/>
  <c r="G13" i="3" s="1"/>
</calcChain>
</file>

<file path=xl/sharedStrings.xml><?xml version="1.0" encoding="utf-8"?>
<sst xmlns="http://schemas.openxmlformats.org/spreadsheetml/2006/main" count="188" uniqueCount="140">
  <si>
    <t>River / Tributary:</t>
  </si>
  <si>
    <t>Crew:</t>
  </si>
  <si>
    <t xml:space="preserve">  Crew:</t>
  </si>
  <si>
    <t xml:space="preserve">Site: </t>
  </si>
  <si>
    <t xml:space="preserve">PRM: </t>
  </si>
  <si>
    <t>Date / Time:</t>
  </si>
  <si>
    <t>Length &amp; Interval:</t>
  </si>
  <si>
    <t>Field Book #</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</si>
  <si>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</si>
  <si>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</si>
  <si>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</si>
  <si>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</si>
  <si>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</si>
  <si>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</si>
  <si>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</si>
  <si>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</si>
  <si>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</si>
  <si>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</si>
  <si>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</si>
  <si>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</si>
  <si>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</si>
  <si>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</si>
  <si>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</si>
  <si>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</si>
  <si>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Results Analysis</t>
  </si>
  <si>
    <t>Wet -16 mm Weight</t>
  </si>
  <si>
    <t>lbs</t>
  </si>
  <si>
    <t>River:</t>
  </si>
  <si>
    <t>Dry -16 mm Weight</t>
  </si>
  <si>
    <t>g  =</t>
  </si>
  <si>
    <t>% Moisture</t>
  </si>
  <si>
    <t xml:space="preserve">  Comments:</t>
  </si>
  <si>
    <t>Field Sieve Results</t>
  </si>
  <si>
    <t>Raw</t>
  </si>
  <si>
    <t>Adjusted for Moisture</t>
  </si>
  <si>
    <t>Cumulative Weight</t>
  </si>
  <si>
    <t>% Finer Field</t>
  </si>
  <si>
    <t>%Finer Lab</t>
  </si>
  <si>
    <t>Adjusted % Finer Lab</t>
  </si>
  <si>
    <t>Compiled Resuts</t>
  </si>
  <si>
    <t>Total Sample Weight</t>
  </si>
  <si>
    <t>(1)</t>
  </si>
  <si>
    <t>(2)</t>
  </si>
  <si>
    <t>(3)</t>
  </si>
  <si>
    <t>(4)</t>
  </si>
  <si>
    <t>Bucket #</t>
  </si>
  <si>
    <t>Bucket Wt (lbs)</t>
  </si>
  <si>
    <t>Bucket + Sample (lbs)</t>
  </si>
  <si>
    <t>Sample Wt   (lbs)</t>
  </si>
  <si>
    <t>Col 3 - Col 2</t>
  </si>
  <si>
    <t xml:space="preserve">  </t>
  </si>
  <si>
    <t>Totals</t>
  </si>
  <si>
    <t>Retained Weight</t>
  </si>
  <si>
    <t>(5)</t>
  </si>
  <si>
    <t>Sieve Size (mm)</t>
  </si>
  <si>
    <t>Total Weight (lbs)           (Containers + material)</t>
  </si>
  <si>
    <t>Sediment Weight  (lbs)</t>
  </si>
  <si>
    <t>CumulativeWeight of Samples (lbs)</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</si>
  <si>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</si>
  <si>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</si>
  <si>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</si>
  <si>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</si>
  <si>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</si>
  <si>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</si>
  <si>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</si>
  <si>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 Larger samples sorted by size using gravelometer</t>
  </si>
  <si>
    <t>Total Sample Weight - Total Retained Weight</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</si>
  <si>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</si>
  <si>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</si>
  <si>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</si>
  <si>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</si>
  <si>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</si>
  <si>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</si>
  <si>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D%</t>
  </si>
  <si>
    <t>Gr</t>
  </si>
  <si>
    <t>%Gravel</t>
  </si>
  <si>
    <t>%Sand</t>
  </si>
  <si>
    <t>%Silt/Clay</t>
  </si>
  <si>
    <t>Average</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</si>
  <si>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</si>
  <si>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</si>
  <si>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</si>
  <si>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</si>
  <si>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</si>
  <si>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</si>
  <si>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</si>
  <si>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</si>
  <si>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</si>
  <si>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</si>
  <si>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</si>
  <si>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</si>
  <si>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</si>
  <si>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</si>
  <si>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</si>
  <si>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</si>
  <si>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</si>
  <si>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</si>
  <si>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Subsurface Field Sieve Data Sheet</t>
  </si>
  <si>
    <t xml:space="preserve">  Northing / Lat:</t>
  </si>
  <si>
    <t xml:space="preserve">  Easting / Long:</t>
  </si>
  <si>
    <t>Sample Number:</t>
  </si>
  <si>
    <t xml:space="preserve">        Excess Water (lbs)</t>
  </si>
  <si>
    <t>NOTE:</t>
  </si>
  <si>
    <t>* All photos and locations are documented</t>
  </si>
  <si>
    <t>on the Surface Sample Data Sheet</t>
  </si>
  <si>
    <t>Remainder</t>
  </si>
  <si>
    <t>Subsample    to lab</t>
  </si>
  <si>
    <t>Photo Backup:</t>
  </si>
  <si>
    <t>of</t>
  </si>
  <si>
    <t>Sample Location (PRM):</t>
  </si>
  <si>
    <t>Field Book #:</t>
  </si>
  <si>
    <t xml:space="preserve">Sample Type:    </t>
  </si>
  <si>
    <t>Main Ch Bar</t>
  </si>
  <si>
    <t>Bank</t>
  </si>
  <si>
    <t>Trib Fan</t>
  </si>
  <si>
    <t>Trib Chan</t>
  </si>
  <si>
    <t>Subsurface Sample Performed with Surface?</t>
  </si>
  <si>
    <t>Sample Type:</t>
  </si>
  <si>
    <t>Northing / Lat:</t>
  </si>
  <si>
    <t>Easting/ Long:</t>
  </si>
  <si>
    <t>n/a</t>
  </si>
  <si>
    <t>RAV</t>
  </si>
  <si>
    <t xml:space="preserve"> Container Weight (lbs)</t>
  </si>
  <si>
    <t>susitna</t>
  </si>
  <si>
    <t>DBT</t>
  </si>
  <si>
    <t>S2</t>
  </si>
  <si>
    <t>DBT, BT, MP, RV</t>
  </si>
  <si>
    <t>426.3-427</t>
  </si>
  <si>
    <t>Susitna</t>
  </si>
  <si>
    <t>Yes</t>
  </si>
  <si>
    <t>Main ch</t>
  </si>
  <si>
    <t>RV, MP</t>
  </si>
  <si>
    <t>100'x1'x3</t>
  </si>
  <si>
    <t>evidence of ice rafted bldrs@ head of is. And along margins @upper end</t>
  </si>
  <si>
    <t>view u/s upon arrival</t>
  </si>
  <si>
    <t>view d/s lt. side of island at ice rafted bldrs</t>
  </si>
  <si>
    <t>bed mat @50' on cntr tran</t>
  </si>
  <si>
    <t>sampling hole</t>
  </si>
  <si>
    <t>pit filled in, site before leaving</t>
  </si>
  <si>
    <t>Surface Sample Data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</si>
</sst>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rgb="FFFFFF00"/>
        <bgColor indexed="64"/>
      </patternFill>
    </fill>
    <fill>
      <patternFill patternType="solid">
        <fgColor theme="0" tint="-0.14999847407452621"/>
        <bgColor indexed="64"/>
      </patternFill>
    </fill>
  </fills>
  <borders count="3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s>
  <cellStyleXfs count="2">
    <xf numFmtId="0" fontId="0" fillId="0" borderId="0"/>
    <xf numFmtId="9" fontId="1" fillId="0" borderId="0" applyFont="0" applyFill="0" applyBorder="0" applyAlignment="0" applyProtection="0"/>
  </cellStyleXfs>
  <cellXfs count="190">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4" xfId="0" quotePrefix="1"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2" xfId="0" quotePrefix="1" applyFont="1" applyBorder="1" applyAlignment="1">
      <alignment horizontal="right"/>
    </xf>
    <xf numFmtId="0" fontId="13"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Border="1" applyAlignment="1">
      <alignment horizontal="right" vertical="center"/>
    </xf>
    <xf numFmtId="0" fontId="2" fillId="0" borderId="4"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14"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6" fillId="0" borderId="0" xfId="0" applyFont="1" applyFill="1"/>
    <xf numFmtId="0" fontId="14" fillId="0" borderId="0" xfId="0" applyFont="1" applyAlignment="1">
      <alignment vertical="top" wrapText="1"/>
    </xf>
    <xf numFmtId="0" fontId="9" fillId="0" borderId="1" xfId="0" applyFont="1" applyBorder="1"/>
    <xf numFmtId="165" fontId="2" fillId="4" borderId="0" xfId="1" applyNumberFormat="1" applyFont="1" applyFill="1"/>
    <xf numFmtId="164" fontId="2" fillId="4" borderId="4" xfId="0" applyNumberFormat="1" applyFont="1" applyFill="1" applyBorder="1" applyAlignment="1">
      <alignment horizontal="left"/>
    </xf>
    <xf numFmtId="164" fontId="2" fillId="4" borderId="4" xfId="0" quotePrefix="1" applyNumberFormat="1" applyFont="1" applyFill="1" applyBorder="1" applyAlignment="1">
      <alignment horizontal="left"/>
    </xf>
    <xf numFmtId="0" fontId="2" fillId="4" borderId="4" xfId="0" applyFont="1" applyFill="1" applyBorder="1" applyAlignment="1">
      <alignment horizontal="left"/>
    </xf>
    <xf numFmtId="9" fontId="2" fillId="0" borderId="4" xfId="1" applyNumberFormat="1" applyFont="1" applyBorder="1"/>
    <xf numFmtId="0" fontId="2" fillId="4" borderId="0" xfId="0" applyFont="1" applyFill="1"/>
    <xf numFmtId="0" fontId="0" fillId="4" borderId="0" xfId="0" applyFill="1" applyAlignment="1">
      <alignment horizontal="center"/>
    </xf>
    <xf numFmtId="164" fontId="0" fillId="4" borderId="0" xfId="0" applyNumberFormat="1" applyFill="1" applyAlignment="1">
      <alignment horizontal="center"/>
    </xf>
    <xf numFmtId="0" fontId="0" fillId="4" borderId="0" xfId="0" applyFill="1"/>
    <xf numFmtId="0" fontId="2" fillId="4" borderId="0" xfId="0" applyFont="1" applyFill="1" applyBorder="1"/>
    <xf numFmtId="0" fontId="3" fillId="4" borderId="0" xfId="0" applyFont="1" applyFill="1" applyBorder="1"/>
    <xf numFmtId="2" fontId="2" fillId="4" borderId="0" xfId="0" applyNumberFormat="1" applyFont="1" applyFill="1" applyBorder="1"/>
    <xf numFmtId="0" fontId="0" fillId="0" borderId="0" xfId="0" applyAlignment="1">
      <alignment vertical="center"/>
    </xf>
    <xf numFmtId="0" fontId="0" fillId="4" borderId="0" xfId="0" applyFill="1" applyAlignment="1">
      <alignment horizontal="center"/>
    </xf>
    <xf numFmtId="164" fontId="2" fillId="0" borderId="4" xfId="0" applyNumberFormat="1" applyFont="1" applyFill="1" applyBorder="1" applyAlignment="1">
      <alignment horizontal="center"/>
    </xf>
    <xf numFmtId="0" fontId="2" fillId="0" borderId="0" xfId="0" applyFont="1" applyBorder="1" applyAlignment="1">
      <alignment horizontal="center" vertical="top"/>
    </xf>
    <xf numFmtId="0" fontId="2" fillId="0" borderId="0" xfId="0" applyFont="1" applyBorder="1" applyAlignment="1">
      <alignment vertical="top"/>
    </xf>
    <xf numFmtId="0" fontId="7" fillId="0" borderId="25" xfId="0" applyFont="1" applyBorder="1" applyAlignment="1">
      <alignment horizontal="center" vertical="center"/>
    </xf>
    <xf numFmtId="0" fontId="2" fillId="4" borderId="13" xfId="0" quotePrefix="1" applyFont="1" applyFill="1" applyBorder="1" applyAlignment="1">
      <alignment horizontal="center" vertical="center"/>
    </xf>
    <xf numFmtId="0" fontId="2" fillId="4" borderId="6" xfId="0" applyFont="1" applyFill="1" applyBorder="1" applyAlignment="1">
      <alignment horizontal="right" vertical="center" wrapText="1"/>
    </xf>
    <xf numFmtId="0" fontId="2" fillId="4" borderId="6" xfId="0" quotePrefix="1" applyFont="1" applyFill="1" applyBorder="1" applyAlignment="1">
      <alignment horizontal="center" vertical="center"/>
    </xf>
    <xf numFmtId="164" fontId="2" fillId="0" borderId="7" xfId="0" applyNumberFormat="1" applyFont="1" applyFill="1" applyBorder="1"/>
    <xf numFmtId="0" fontId="2" fillId="4" borderId="16" xfId="0" quotePrefix="1" applyFont="1" applyFill="1" applyBorder="1" applyAlignment="1">
      <alignment horizontal="center" vertical="center"/>
    </xf>
    <xf numFmtId="0" fontId="2" fillId="4" borderId="4" xfId="0" applyFont="1" applyFill="1" applyBorder="1" applyAlignment="1">
      <alignment horizontal="right" vertical="center" wrapText="1"/>
    </xf>
    <xf numFmtId="0" fontId="2" fillId="4" borderId="4" xfId="0" quotePrefix="1" applyFont="1" applyFill="1" applyBorder="1" applyAlignment="1">
      <alignment horizontal="center" vertical="center"/>
    </xf>
    <xf numFmtId="164" fontId="2" fillId="0" borderId="9" xfId="0" applyNumberFormat="1" applyFont="1" applyFill="1" applyBorder="1"/>
    <xf numFmtId="0" fontId="2" fillId="4" borderId="16" xfId="0" applyFont="1" applyFill="1" applyBorder="1" applyAlignment="1">
      <alignment horizontal="center" vertical="center"/>
    </xf>
    <xf numFmtId="0" fontId="2" fillId="4" borderId="4" xfId="0" applyFont="1" applyFill="1" applyBorder="1" applyAlignment="1">
      <alignment horizontal="center" vertical="center"/>
    </xf>
    <xf numFmtId="164" fontId="2" fillId="4" borderId="16" xfId="0" quotePrefix="1" applyNumberFormat="1" applyFont="1" applyFill="1" applyBorder="1" applyAlignment="1">
      <alignment horizontal="center" vertical="center"/>
    </xf>
    <xf numFmtId="164" fontId="2" fillId="4" borderId="4" xfId="0" quotePrefix="1" applyNumberFormat="1" applyFont="1" applyFill="1" applyBorder="1" applyAlignment="1">
      <alignment horizontal="center" vertical="center"/>
    </xf>
    <xf numFmtId="0" fontId="2" fillId="4" borderId="18" xfId="0" applyFont="1" applyFill="1" applyBorder="1" applyAlignment="1">
      <alignment horizontal="center" vertical="center"/>
    </xf>
    <xf numFmtId="0" fontId="2" fillId="4" borderId="12" xfId="0" applyFont="1" applyFill="1" applyBorder="1" applyAlignment="1">
      <alignment horizontal="center" vertical="center"/>
    </xf>
    <xf numFmtId="164" fontId="2" fillId="0" borderId="27" xfId="0" applyNumberFormat="1" applyFont="1" applyFill="1" applyBorder="1"/>
    <xf numFmtId="0" fontId="7" fillId="0" borderId="0"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xf>
    <xf numFmtId="0" fontId="2" fillId="0" borderId="3" xfId="0" applyFont="1" applyBorder="1" applyAlignment="1">
      <alignment horizontal="right"/>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4" fillId="0" borderId="0" xfId="0" applyFont="1" applyAlignment="1">
      <alignment horizontal="center"/>
    </xf>
    <xf numFmtId="0" fontId="2" fillId="0" borderId="0" xfId="0" applyFont="1" applyFill="1" applyBorder="1" applyAlignment="1">
      <alignment horizontal="center"/>
    </xf>
    <xf numFmtId="0" fontId="2" fillId="0" borderId="29" xfId="0" applyFont="1" applyFill="1" applyBorder="1"/>
    <xf numFmtId="0" fontId="2" fillId="0" borderId="29" xfId="0" applyFont="1" applyBorder="1"/>
    <xf numFmtId="0" fontId="2" fillId="0" borderId="29" xfId="0" applyFont="1" applyBorder="1" applyAlignment="1">
      <alignment horizontal="right"/>
    </xf>
    <xf numFmtId="0" fontId="2" fillId="0" borderId="0" xfId="0" applyFont="1" applyAlignment="1">
      <alignment horizontal="left"/>
    </xf>
    <xf numFmtId="0" fontId="2" fillId="0" borderId="1" xfId="0" applyFont="1" applyFill="1" applyBorder="1"/>
    <xf numFmtId="0" fontId="2" fillId="0" borderId="2" xfId="0" applyFont="1" applyBorder="1" applyAlignment="1">
      <alignment horizontal="center" vertical="center"/>
    </xf>
    <xf numFmtId="0" fontId="2" fillId="0" borderId="0" xfId="0" quotePrefix="1" applyFont="1" applyAlignment="1">
      <alignment horizontal="center" vertical="center"/>
    </xf>
    <xf numFmtId="0" fontId="2" fillId="0" borderId="2" xfId="0" applyFont="1" applyBorder="1" applyAlignment="1"/>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wrapText="1"/>
    </xf>
    <xf numFmtId="164" fontId="2" fillId="0" borderId="2" xfId="0" applyNumberFormat="1" applyFont="1" applyBorder="1"/>
    <xf numFmtId="0" fontId="2" fillId="0" borderId="4" xfId="0" applyFont="1" applyFill="1" applyBorder="1" applyAlignment="1">
      <alignment horizontal="center" vertical="center"/>
    </xf>
    <xf numFmtId="0" fontId="2" fillId="0" borderId="4" xfId="0" applyFont="1" applyFill="1" applyBorder="1" applyAlignment="1">
      <alignment horizontal="center" wrapText="1"/>
    </xf>
    <xf numFmtId="0" fontId="2" fillId="0" borderId="24" xfId="0" applyFont="1" applyBorder="1" applyAlignment="1">
      <alignment horizontal="center"/>
    </xf>
    <xf numFmtId="164" fontId="2" fillId="0" borderId="24" xfId="0" applyNumberFormat="1" applyFont="1" applyBorder="1" applyAlignment="1">
      <alignment horizontal="center"/>
    </xf>
    <xf numFmtId="0" fontId="2" fillId="0" borderId="30" xfId="0" applyFont="1" applyBorder="1" applyAlignment="1">
      <alignment horizontal="center"/>
    </xf>
    <xf numFmtId="164" fontId="2" fillId="0" borderId="30" xfId="0" applyNumberFormat="1" applyFont="1" applyBorder="1" applyAlignment="1">
      <alignment horizontal="center"/>
    </xf>
    <xf numFmtId="164" fontId="2" fillId="5" borderId="24" xfId="0" applyNumberFormat="1" applyFont="1" applyFill="1" applyBorder="1" applyAlignment="1">
      <alignment horizontal="center"/>
    </xf>
    <xf numFmtId="164" fontId="2" fillId="0" borderId="10" xfId="0" applyNumberFormat="1" applyFont="1" applyFill="1" applyBorder="1" applyAlignment="1">
      <alignment horizontal="center" vertical="center"/>
    </xf>
    <xf numFmtId="0" fontId="2" fillId="0" borderId="30" xfId="0" applyFont="1" applyBorder="1" applyAlignment="1">
      <alignment horizontal="center" vertical="center" wrapText="1"/>
    </xf>
    <xf numFmtId="0" fontId="2" fillId="0" borderId="30" xfId="0" applyFont="1" applyFill="1" applyBorder="1" applyAlignment="1">
      <alignment horizontal="center" vertical="center" wrapText="1"/>
    </xf>
    <xf numFmtId="164" fontId="2" fillId="0" borderId="31" xfId="0" applyNumberFormat="1" applyFont="1" applyFill="1" applyBorder="1" applyAlignment="1">
      <alignment horizontal="center"/>
    </xf>
    <xf numFmtId="1" fontId="2" fillId="0" borderId="2" xfId="0" applyNumberFormat="1" applyFont="1" applyBorder="1" applyAlignment="1">
      <alignment horizontal="center"/>
    </xf>
    <xf numFmtId="0" fontId="2" fillId="0" borderId="4" xfId="0" applyFont="1" applyFill="1" applyBorder="1" applyAlignment="1"/>
    <xf numFmtId="0" fontId="15" fillId="0" borderId="0" xfId="0" applyFont="1" applyBorder="1" applyAlignment="1">
      <alignment horizontal="center"/>
    </xf>
    <xf numFmtId="0" fontId="17" fillId="0" borderId="0" xfId="0" applyFont="1" applyAlignment="1">
      <alignment horizontal="center" vertical="top"/>
    </xf>
    <xf numFmtId="0" fontId="14" fillId="0" borderId="0" xfId="0" applyFont="1" applyAlignment="1">
      <alignment horizontal="left" vertical="top" wrapText="1"/>
    </xf>
    <xf numFmtId="0" fontId="4" fillId="0" borderId="0" xfId="0" applyFont="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11" fillId="0" borderId="10" xfId="0" applyFont="1" applyBorder="1" applyAlignment="1">
      <alignment horizontal="center" vertical="center"/>
    </xf>
    <xf numFmtId="0" fontId="11" fillId="0" borderId="2" xfId="0" applyFont="1" applyBorder="1" applyAlignment="1">
      <alignment horizontal="center" vertic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2" fillId="0" borderId="4" xfId="0" applyFont="1" applyFill="1" applyBorder="1" applyAlignment="1">
      <alignment horizontal="center" vertical="center" wrapText="1"/>
    </xf>
    <xf numFmtId="0" fontId="2" fillId="0" borderId="4" xfId="0" applyFont="1" applyFill="1" applyBorder="1" applyAlignment="1">
      <alignment horizontal="left"/>
    </xf>
    <xf numFmtId="0" fontId="2" fillId="0" borderId="1" xfId="0" applyFont="1" applyFill="1" applyBorder="1" applyAlignment="1">
      <alignment horizontal="left"/>
    </xf>
    <xf numFmtId="0" fontId="2" fillId="0" borderId="26" xfId="0" applyFont="1" applyBorder="1" applyAlignment="1">
      <alignment horizontal="left"/>
    </xf>
    <xf numFmtId="0" fontId="2" fillId="0" borderId="2" xfId="0" applyFont="1" applyBorder="1" applyAlignment="1">
      <alignment horizontal="left"/>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2" fillId="0" borderId="1" xfId="0" applyFont="1" applyBorder="1" applyAlignment="1">
      <alignment horizontal="left"/>
    </xf>
    <xf numFmtId="0" fontId="2" fillId="0" borderId="6" xfId="0" applyFont="1" applyFill="1" applyBorder="1" applyAlignment="1">
      <alignment horizontal="center" vertical="center" wrapText="1"/>
    </xf>
    <xf numFmtId="0" fontId="0" fillId="4"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179.9</a:t>
            </a:r>
            <a:endParaRPr lang="en-US"/>
          </a:p>
        </c:rich>
      </c:tx>
      <c:layout>
        <c:manualLayout>
          <c:xMode val="edge"/>
          <c:yMode val="edge"/>
          <c:x val="0.38203015176233662"/>
          <c:y val="2.8337641887433578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0"/>
          <c:order val="10"/>
          <c:tx>
            <c:v>Surface Sample Left</c:v>
          </c:tx>
          <c:spPr>
            <a:ln>
              <a:solidFill>
                <a:schemeClr val="accent6">
                  <a:lumMod val="75000"/>
                </a:schemeClr>
              </a:solidFill>
              <a:prstDash val="lgDashDot"/>
            </a:ln>
          </c:spPr>
          <c:marker>
            <c:symbol val="none"/>
          </c:marker>
          <c:xVal>
            <c:numRef>
              <c:f>Surface!$B$14:$B$30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Surface!$H$14:$H$30</c:f>
              <c:numCache>
                <c:formatCode>General</c:formatCode>
                <c:ptCount val="17"/>
                <c:pt idx="0">
                  <c:v>0</c:v>
                </c:pt>
                <c:pt idx="1">
                  <c:v>0</c:v>
                </c:pt>
                <c:pt idx="2">
                  <c:v>0</c:v>
                </c:pt>
                <c:pt idx="3">
                  <c:v>1</c:v>
                </c:pt>
                <c:pt idx="4">
                  <c:v>4</c:v>
                </c:pt>
                <c:pt idx="5">
                  <c:v>10</c:v>
                </c:pt>
                <c:pt idx="6">
                  <c:v>18</c:v>
                </c:pt>
                <c:pt idx="7">
                  <c:v>25</c:v>
                </c:pt>
                <c:pt idx="8">
                  <c:v>43</c:v>
                </c:pt>
                <c:pt idx="9">
                  <c:v>56</c:v>
                </c:pt>
                <c:pt idx="10">
                  <c:v>81</c:v>
                </c:pt>
                <c:pt idx="11">
                  <c:v>88</c:v>
                </c:pt>
                <c:pt idx="12">
                  <c:v>95</c:v>
                </c:pt>
                <c:pt idx="13">
                  <c:v>100</c:v>
                </c:pt>
                <c:pt idx="14">
                  <c:v>100</c:v>
                </c:pt>
                <c:pt idx="15">
                  <c:v>100</c:v>
                </c:pt>
                <c:pt idx="16">
                  <c:v>100</c:v>
                </c:pt>
              </c:numCache>
            </c:numRef>
          </c:yVal>
          <c:smooth val="0"/>
        </c:ser>
        <c:ser>
          <c:idx val="2"/>
          <c:order val="11"/>
          <c:tx>
            <c:v>Surface Sample Center</c:v>
          </c:tx>
          <c:spPr>
            <a:ln w="19050">
              <a:solidFill>
                <a:schemeClr val="accent6">
                  <a:lumMod val="75000"/>
                </a:schemeClr>
              </a:solidFill>
            </a:ln>
          </c:spPr>
          <c:marker>
            <c:symbol val="none"/>
          </c:marker>
          <c:xVal>
            <c:numRef>
              <c:f>Surface!$I$14:$I$30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Surface!$O$14:$O$30</c:f>
              <c:numCache>
                <c:formatCode>General</c:formatCode>
                <c:ptCount val="17"/>
                <c:pt idx="0">
                  <c:v>0</c:v>
                </c:pt>
                <c:pt idx="1">
                  <c:v>0</c:v>
                </c:pt>
                <c:pt idx="2">
                  <c:v>3</c:v>
                </c:pt>
                <c:pt idx="3">
                  <c:v>9</c:v>
                </c:pt>
                <c:pt idx="4">
                  <c:v>14</c:v>
                </c:pt>
                <c:pt idx="5">
                  <c:v>26</c:v>
                </c:pt>
                <c:pt idx="6">
                  <c:v>36</c:v>
                </c:pt>
                <c:pt idx="7">
                  <c:v>48</c:v>
                </c:pt>
                <c:pt idx="8">
                  <c:v>63</c:v>
                </c:pt>
                <c:pt idx="9">
                  <c:v>73</c:v>
                </c:pt>
                <c:pt idx="10">
                  <c:v>84</c:v>
                </c:pt>
                <c:pt idx="11">
                  <c:v>93</c:v>
                </c:pt>
                <c:pt idx="12">
                  <c:v>99</c:v>
                </c:pt>
                <c:pt idx="13">
                  <c:v>100</c:v>
                </c:pt>
                <c:pt idx="14">
                  <c:v>100</c:v>
                </c:pt>
                <c:pt idx="15">
                  <c:v>100</c:v>
                </c:pt>
                <c:pt idx="16">
                  <c:v>100</c:v>
                </c:pt>
              </c:numCache>
            </c:numRef>
          </c:yVal>
          <c:smooth val="0"/>
        </c:ser>
        <c:ser>
          <c:idx val="4"/>
          <c:order val="12"/>
          <c:tx>
            <c:v>Surface Sample Right</c:v>
          </c:tx>
          <c:spPr>
            <a:ln>
              <a:solidFill>
                <a:schemeClr val="accent6">
                  <a:lumMod val="75000"/>
                </a:schemeClr>
              </a:solidFill>
              <a:prstDash val="sysDash"/>
            </a:ln>
          </c:spPr>
          <c:marker>
            <c:symbol val="none"/>
          </c:marker>
          <c:xVal>
            <c:numRef>
              <c:f>Surface!$P$14:$P$30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Surface!$V$14:$V$30</c:f>
              <c:numCache>
                <c:formatCode>General</c:formatCode>
                <c:ptCount val="17"/>
                <c:pt idx="0">
                  <c:v>0</c:v>
                </c:pt>
                <c:pt idx="1">
                  <c:v>0</c:v>
                </c:pt>
                <c:pt idx="2">
                  <c:v>0</c:v>
                </c:pt>
                <c:pt idx="3">
                  <c:v>1</c:v>
                </c:pt>
                <c:pt idx="4">
                  <c:v>5</c:v>
                </c:pt>
                <c:pt idx="5">
                  <c:v>8</c:v>
                </c:pt>
                <c:pt idx="6">
                  <c:v>16</c:v>
                </c:pt>
                <c:pt idx="7">
                  <c:v>26</c:v>
                </c:pt>
                <c:pt idx="8">
                  <c:v>45</c:v>
                </c:pt>
                <c:pt idx="9">
                  <c:v>63</c:v>
                </c:pt>
                <c:pt idx="10">
                  <c:v>72</c:v>
                </c:pt>
                <c:pt idx="11">
                  <c:v>89</c:v>
                </c:pt>
                <c:pt idx="12">
                  <c:v>99</c:v>
                </c:pt>
                <c:pt idx="13">
                  <c:v>100</c:v>
                </c:pt>
                <c:pt idx="14">
                  <c:v>100</c:v>
                </c:pt>
                <c:pt idx="15">
                  <c:v>100</c:v>
                </c:pt>
                <c:pt idx="16">
                  <c:v>100</c:v>
                </c:pt>
              </c:numCache>
            </c:numRef>
          </c:yVal>
          <c:smooth val="0"/>
        </c:ser>
        <c:ser>
          <c:idx val="10"/>
          <c:order val="13"/>
          <c:tx>
            <c:v>Surface Sample Average</c:v>
          </c:tx>
          <c:spPr>
            <a:ln w="38100">
              <a:solidFill>
                <a:schemeClr val="accent6">
                  <a:lumMod val="75000"/>
                </a:schemeClr>
              </a:solidFill>
              <a:prstDash val="solid"/>
            </a:ln>
          </c:spPr>
          <c:marker>
            <c:symbol val="none"/>
          </c:marker>
          <c:xVal>
            <c:numRef>
              <c:f>Surface!$P$14:$P$30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Surface!$W$14:$W$30</c:f>
              <c:numCache>
                <c:formatCode>0.0</c:formatCode>
                <c:ptCount val="17"/>
                <c:pt idx="0">
                  <c:v>0</c:v>
                </c:pt>
                <c:pt idx="1">
                  <c:v>0</c:v>
                </c:pt>
                <c:pt idx="2">
                  <c:v>1</c:v>
                </c:pt>
                <c:pt idx="3">
                  <c:v>3.6666666666666665</c:v>
                </c:pt>
                <c:pt idx="4">
                  <c:v>7.666666666666667</c:v>
                </c:pt>
                <c:pt idx="5">
                  <c:v>14.666666666666666</c:v>
                </c:pt>
                <c:pt idx="6">
                  <c:v>23.333333333333332</c:v>
                </c:pt>
                <c:pt idx="7">
                  <c:v>33</c:v>
                </c:pt>
                <c:pt idx="8">
                  <c:v>50.333333333333336</c:v>
                </c:pt>
                <c:pt idx="9">
                  <c:v>64</c:v>
                </c:pt>
                <c:pt idx="10">
                  <c:v>79</c:v>
                </c:pt>
                <c:pt idx="11">
                  <c:v>90</c:v>
                </c:pt>
                <c:pt idx="12">
                  <c:v>97.666666666666671</c:v>
                </c:pt>
                <c:pt idx="13">
                  <c:v>100</c:v>
                </c:pt>
                <c:pt idx="14">
                  <c:v>100</c:v>
                </c:pt>
                <c:pt idx="15">
                  <c:v>100</c:v>
                </c:pt>
                <c:pt idx="16">
                  <c:v>100</c:v>
                </c:pt>
              </c:numCache>
            </c:numRef>
          </c:yVal>
          <c:smooth val="0"/>
        </c:ser>
        <c:ser>
          <c:idx val="1"/>
          <c:order val="14"/>
          <c:tx>
            <c:v>Subsurface: Field and Lab </c:v>
          </c:tx>
          <c:spPr>
            <a:ln w="38100">
              <a:solidFill>
                <a:srgbClr val="0070C0"/>
              </a:solidFill>
              <a:prstDash val="solid"/>
            </a:ln>
          </c:spPr>
          <c:marker>
            <c:symbol val="none"/>
          </c:marker>
          <c:xVal>
            <c:numRef>
              <c:f>SubS!$Z$10:$Z$27</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SubS!$AG$10:$AG$27</c:f>
              <c:numCache>
                <c:formatCode>_(* #,##0.00_);_(* \(#,##0.00\);_(* "-"??_);_(@_)</c:formatCode>
                <c:ptCount val="18"/>
                <c:pt idx="0">
                  <c:v>100</c:v>
                </c:pt>
                <c:pt idx="1">
                  <c:v>100</c:v>
                </c:pt>
                <c:pt idx="2">
                  <c:v>100</c:v>
                </c:pt>
                <c:pt idx="3">
                  <c:v>94.257230236199248</c:v>
                </c:pt>
                <c:pt idx="4">
                  <c:v>89.223444393855374</c:v>
                </c:pt>
                <c:pt idx="5">
                  <c:v>77.005288147415101</c:v>
                </c:pt>
                <c:pt idx="6">
                  <c:v>67.812129965857508</c:v>
                </c:pt>
                <c:pt idx="7">
                  <c:v>57.390066320441335</c:v>
                </c:pt>
                <c:pt idx="8">
                  <c:v>49.189485628923393</c:v>
                </c:pt>
                <c:pt idx="9">
                  <c:v>42.619567956756278</c:v>
                </c:pt>
                <c:pt idx="10">
                  <c:v>34.095654365405025</c:v>
                </c:pt>
                <c:pt idx="11">
                  <c:v>26.850327812756454</c:v>
                </c:pt>
                <c:pt idx="12">
                  <c:v>23.014566696648391</c:v>
                </c:pt>
                <c:pt idx="13">
                  <c:v>19.605001260107887</c:v>
                </c:pt>
                <c:pt idx="14">
                  <c:v>14.916848784864694</c:v>
                </c:pt>
                <c:pt idx="15">
                  <c:v>4.6881524752431902</c:v>
                </c:pt>
                <c:pt idx="16">
                  <c:v>1.2785870387026883</c:v>
                </c:pt>
                <c:pt idx="17">
                  <c:v>0.42619567956756277</c:v>
                </c:pt>
              </c:numCache>
            </c:numRef>
          </c:yVal>
          <c:smooth val="0"/>
        </c:ser>
        <c:dLbls>
          <c:showLegendKey val="0"/>
          <c:showVal val="0"/>
          <c:showCatName val="0"/>
          <c:showSerName val="0"/>
          <c:showPercent val="0"/>
          <c:showBubbleSize val="0"/>
        </c:dLbls>
        <c:axId val="412301288"/>
        <c:axId val="412301680"/>
      </c:scatterChart>
      <c:valAx>
        <c:axId val="412301288"/>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412301680"/>
        <c:crosses val="autoZero"/>
        <c:crossBetween val="midCat"/>
        <c:majorUnit val="10"/>
        <c:minorUnit val="10"/>
      </c:valAx>
      <c:valAx>
        <c:axId val="412301680"/>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412301288"/>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24794658700232894"/>
          <c:h val="0.1837278304410977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tabSelected="1"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32461" y="0"/>
          <a:ext cx="1981200" cy="444221"/>
        </a:xfrm>
        <a:prstGeom prst="rect">
          <a:avLst/>
        </a:prstGeom>
      </xdr:spPr>
    </xdr:pic>
    <xdr:clientData/>
  </xdr:oneCellAnchor>
  <xdr:oneCellAnchor>
    <xdr:from>
      <xdr:col>8</xdr:col>
      <xdr:colOff>367664</xdr:colOff>
      <xdr:row>0</xdr:row>
      <xdr:rowOff>0</xdr:rowOff>
    </xdr:from>
    <xdr:ext cx="661036" cy="711491"/>
    <xdr:pic>
      <xdr:nvPicPr>
        <xdr:cNvPr id="4" name="Picture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776084" y="0"/>
          <a:ext cx="661036" cy="711491"/>
        </a:xfrm>
        <a:prstGeom prst="rect">
          <a:avLst/>
        </a:prstGeom>
      </xdr:spPr>
    </xdr:pic>
    <xdr:clientData/>
  </xdr:oneCellAnchor>
  <xdr:twoCellAnchor>
    <xdr:from>
      <xdr:col>2</xdr:col>
      <xdr:colOff>47625</xdr:colOff>
      <xdr:row>8</xdr:row>
      <xdr:rowOff>57150</xdr:rowOff>
    </xdr:from>
    <xdr:to>
      <xdr:col>2</xdr:col>
      <xdr:colOff>771525</xdr:colOff>
      <xdr:row>8</xdr:row>
      <xdr:rowOff>428625</xdr:rowOff>
    </xdr:to>
    <xdr:sp macro="" textlink="">
      <xdr:nvSpPr>
        <xdr:cNvPr id="2" name="Oval 1"/>
        <xdr:cNvSpPr/>
      </xdr:nvSpPr>
      <xdr:spPr>
        <a:xfrm>
          <a:off x="1552575" y="1876425"/>
          <a:ext cx="723900" cy="3714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10</xdr:col>
      <xdr:colOff>0</xdr:colOff>
      <xdr:row>0</xdr:row>
      <xdr:rowOff>0</xdr:rowOff>
    </xdr:from>
    <xdr:to>
      <xdr:col>22</xdr:col>
      <xdr:colOff>504825</xdr:colOff>
      <xdr:row>44</xdr:row>
      <xdr:rowOff>310515</xdr:rowOff>
    </xdr:to>
    <xdr:pic>
      <xdr:nvPicPr>
        <xdr:cNvPr id="5" name="Picture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15300"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8550" cy="629130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441" y="5591270"/>
          <a:ext cx="7235205" cy="386097"/>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532" y="5585167"/>
          <a:ext cx="6962406" cy="400001"/>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8"/>
  <sheetViews>
    <sheetView topLeftCell="G7" workbookViewId="0">
      <selection activeCell="I23" sqref="I23"/>
    </sheetView>
  </sheetViews>
  <sheetFormatPr defaultColWidth="8.85546875" defaultRowHeight="14.25" x14ac:dyDescent="0.2"/>
  <cols>
    <col min="1" max="1" width="8.85546875" style="1"/>
    <col min="2" max="2" width="13.7109375" style="1" customWidth="1"/>
    <col min="3" max="4" width="12.7109375" style="1" customWidth="1"/>
    <col min="5" max="5" width="15.5703125" style="1" customWidth="1"/>
    <col min="6" max="6" width="11.570312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5" width="8.85546875" style="1"/>
    <col min="26" max="28" width="9.140625" style="1"/>
    <col min="29" max="29" width="11.140625" style="1" customWidth="1"/>
    <col min="30" max="32" width="9.140625" style="1"/>
    <col min="33" max="33" width="9.42578125" style="1" customWidth="1"/>
    <col min="34" max="16384" width="8.85546875" style="1"/>
  </cols>
  <sheetData>
    <row r="1" spans="2:34" ht="22.9" x14ac:dyDescent="0.4">
      <c r="Z1" s="157" t="s">
        <v>24</v>
      </c>
      <c r="AA1" s="157"/>
      <c r="AB1" s="157"/>
      <c r="AC1" s="157"/>
      <c r="AD1" s="157"/>
      <c r="AE1" s="157"/>
      <c r="AF1" s="157"/>
      <c r="AG1" s="157"/>
      <c r="AH1"/>
    </row>
    <row r="2" spans="2:34" ht="22.9" x14ac:dyDescent="0.4">
      <c r="Z2" s="128"/>
      <c r="AA2" s="128"/>
      <c r="AB2" s="128"/>
      <c r="AC2" s="128"/>
      <c r="AD2" s="128"/>
      <c r="AE2" s="128"/>
      <c r="AF2" s="128"/>
      <c r="AG2" s="128"/>
      <c r="AH2"/>
    </row>
    <row r="3" spans="2:34" ht="22.9" x14ac:dyDescent="0.4">
      <c r="B3" s="157" t="s">
        <v>97</v>
      </c>
      <c r="C3" s="157"/>
      <c r="D3" s="157"/>
      <c r="E3" s="157"/>
      <c r="F3" s="157"/>
      <c r="G3" s="157"/>
      <c r="H3" s="157"/>
      <c r="I3" s="157"/>
      <c r="J3" s="157"/>
      <c r="Z3" s="1" t="s">
        <v>25</v>
      </c>
      <c r="AB3" s="49">
        <f>+AA28</f>
        <v>184.2</v>
      </c>
      <c r="AC3" s="1" t="s">
        <v>26</v>
      </c>
      <c r="AH3"/>
    </row>
    <row r="4" spans="2:34" ht="14.45" x14ac:dyDescent="0.3">
      <c r="B4" s="6" t="s">
        <v>27</v>
      </c>
      <c r="C4" s="6" t="s">
        <v>123</v>
      </c>
      <c r="D4" s="20"/>
      <c r="E4" s="6"/>
      <c r="F4" s="6" t="s">
        <v>2</v>
      </c>
      <c r="G4" s="6" t="s">
        <v>126</v>
      </c>
      <c r="H4" s="6"/>
      <c r="I4" s="6"/>
      <c r="J4" s="8"/>
      <c r="Z4" s="1" t="s">
        <v>28</v>
      </c>
      <c r="AB4" s="50">
        <v>7594</v>
      </c>
      <c r="AC4" s="1" t="s">
        <v>29</v>
      </c>
      <c r="AD4" s="51">
        <f>+AB4*0.0022046</f>
        <v>16.7417324</v>
      </c>
      <c r="AE4" s="1" t="s">
        <v>26</v>
      </c>
      <c r="AH4"/>
    </row>
    <row r="5" spans="2:34" ht="14.45" x14ac:dyDescent="0.3">
      <c r="B5" s="9" t="s">
        <v>5</v>
      </c>
      <c r="C5" s="10">
        <v>41830</v>
      </c>
      <c r="D5" s="152">
        <v>1500</v>
      </c>
      <c r="E5" s="9"/>
      <c r="F5" s="9" t="s">
        <v>98</v>
      </c>
      <c r="G5" s="9"/>
      <c r="H5" s="9">
        <v>3210686.8</v>
      </c>
      <c r="I5" s="9"/>
      <c r="J5" s="8"/>
      <c r="Z5" s="1" t="s">
        <v>30</v>
      </c>
      <c r="AB5" s="87">
        <f>1-AD4/E45</f>
        <v>2.0951321637426967E-2</v>
      </c>
      <c r="AH5"/>
    </row>
    <row r="6" spans="2:34" ht="15" thickBot="1" x14ac:dyDescent="0.35">
      <c r="B6" s="9" t="s">
        <v>7</v>
      </c>
      <c r="C6" s="9" t="s">
        <v>124</v>
      </c>
      <c r="D6" s="16"/>
      <c r="E6" s="9"/>
      <c r="F6" s="9" t="s">
        <v>99</v>
      </c>
      <c r="G6" s="15"/>
      <c r="H6" s="9">
        <v>1856926.7</v>
      </c>
      <c r="I6" s="9"/>
      <c r="J6" s="8"/>
      <c r="AB6" s="52"/>
      <c r="AH6"/>
    </row>
    <row r="7" spans="2:34" ht="15" thickBot="1" x14ac:dyDescent="0.35">
      <c r="B7" s="9" t="s">
        <v>109</v>
      </c>
      <c r="C7" s="9"/>
      <c r="D7" s="9">
        <v>179.9</v>
      </c>
      <c r="E7" s="9"/>
      <c r="F7" s="14" t="s">
        <v>31</v>
      </c>
      <c r="G7" s="9"/>
      <c r="H7" s="9"/>
      <c r="I7" s="9"/>
      <c r="J7" s="8"/>
      <c r="AA7" s="163" t="s">
        <v>32</v>
      </c>
      <c r="AB7" s="164"/>
      <c r="AC7" s="164"/>
      <c r="AD7" s="164"/>
      <c r="AE7" s="164"/>
      <c r="AF7" s="164"/>
      <c r="AG7" s="165"/>
      <c r="AH7"/>
    </row>
    <row r="8" spans="2:34" ht="14.45" x14ac:dyDescent="0.3">
      <c r="B8" s="9" t="s">
        <v>100</v>
      </c>
      <c r="C8" s="12"/>
      <c r="D8" s="135" t="s">
        <v>125</v>
      </c>
      <c r="E8" s="9"/>
      <c r="F8" s="19"/>
      <c r="G8" s="9"/>
      <c r="H8" s="9"/>
      <c r="I8" s="9"/>
      <c r="J8" s="8"/>
      <c r="AA8" s="17"/>
      <c r="AB8" s="17"/>
      <c r="AC8" s="17"/>
      <c r="AD8" s="17"/>
      <c r="AH8"/>
    </row>
    <row r="9" spans="2:34" ht="42" customHeight="1" x14ac:dyDescent="0.3">
      <c r="B9" s="121" t="s">
        <v>111</v>
      </c>
      <c r="C9" s="138" t="s">
        <v>112</v>
      </c>
      <c r="D9" s="135" t="s">
        <v>113</v>
      </c>
      <c r="E9" s="138" t="s">
        <v>114</v>
      </c>
      <c r="F9" s="136" t="s">
        <v>115</v>
      </c>
      <c r="G9" s="9"/>
      <c r="H9" s="9"/>
      <c r="I9" s="9"/>
      <c r="J9" s="8"/>
      <c r="AA9" s="53" t="s">
        <v>33</v>
      </c>
      <c r="AB9" s="53" t="s">
        <v>34</v>
      </c>
      <c r="AC9" s="54" t="s">
        <v>35</v>
      </c>
      <c r="AD9" s="54" t="s">
        <v>36</v>
      </c>
      <c r="AE9" s="54" t="s">
        <v>37</v>
      </c>
      <c r="AF9" s="54" t="s">
        <v>38</v>
      </c>
      <c r="AG9" s="54" t="s">
        <v>39</v>
      </c>
      <c r="AH9"/>
    </row>
    <row r="10" spans="2:34" ht="14.45" x14ac:dyDescent="0.3">
      <c r="B10" s="9"/>
      <c r="C10" s="6"/>
      <c r="D10" s="9"/>
      <c r="E10" s="9"/>
      <c r="G10" s="9"/>
      <c r="H10" s="9"/>
      <c r="I10" s="9"/>
      <c r="J10" s="8"/>
      <c r="Z10" s="88">
        <v>360</v>
      </c>
      <c r="AA10" s="55">
        <f t="shared" ref="AA10:AA12" si="0">+F32</f>
        <v>0</v>
      </c>
      <c r="AB10" s="55">
        <f>+AA10</f>
        <v>0</v>
      </c>
      <c r="AC10" s="55">
        <f>+AB10</f>
        <v>0</v>
      </c>
      <c r="AD10" s="56">
        <f t="shared" ref="AD10:AD19" si="1">1-(AC10/AB$29)</f>
        <v>1</v>
      </c>
      <c r="AE10" s="57"/>
      <c r="AF10" s="57"/>
      <c r="AG10" s="58">
        <f t="shared" ref="AG10:AG19" si="2">+AD10*100</f>
        <v>100</v>
      </c>
      <c r="AH10"/>
    </row>
    <row r="11" spans="2:34" ht="15" thickBot="1" x14ac:dyDescent="0.35">
      <c r="G11" s="9"/>
      <c r="H11" s="9"/>
      <c r="I11" s="9"/>
      <c r="J11" s="8"/>
      <c r="Z11" s="88">
        <v>256</v>
      </c>
      <c r="AA11" s="55">
        <f t="shared" si="0"/>
        <v>0</v>
      </c>
      <c r="AB11" s="55">
        <f t="shared" ref="AB11:AB19" si="3">+AA11</f>
        <v>0</v>
      </c>
      <c r="AC11" s="59">
        <f t="shared" ref="AC11:AC19" si="4">+AB11+AC10</f>
        <v>0</v>
      </c>
      <c r="AD11" s="56">
        <f t="shared" si="1"/>
        <v>1</v>
      </c>
      <c r="AE11" s="57"/>
      <c r="AF11" s="57"/>
      <c r="AG11" s="58">
        <f t="shared" si="2"/>
        <v>100</v>
      </c>
      <c r="AH11"/>
    </row>
    <row r="12" spans="2:34" ht="18" thickBot="1" x14ac:dyDescent="0.35">
      <c r="B12" s="158" t="s">
        <v>40</v>
      </c>
      <c r="C12" s="159"/>
      <c r="D12" s="159"/>
      <c r="E12" s="160"/>
      <c r="G12" s="12"/>
      <c r="H12" s="12"/>
      <c r="I12" s="12"/>
      <c r="Z12" s="88">
        <v>180</v>
      </c>
      <c r="AA12" s="55">
        <f t="shared" si="0"/>
        <v>0</v>
      </c>
      <c r="AB12" s="55">
        <f t="shared" si="3"/>
        <v>0</v>
      </c>
      <c r="AC12" s="59">
        <f t="shared" si="4"/>
        <v>0</v>
      </c>
      <c r="AD12" s="56">
        <f t="shared" si="1"/>
        <v>1</v>
      </c>
      <c r="AE12" s="57"/>
      <c r="AF12" s="57"/>
      <c r="AG12" s="58">
        <f t="shared" si="2"/>
        <v>100</v>
      </c>
      <c r="AH12"/>
    </row>
    <row r="13" spans="2:34" ht="14.45" x14ac:dyDescent="0.3">
      <c r="B13" s="60" t="s">
        <v>41</v>
      </c>
      <c r="C13" s="60" t="s">
        <v>42</v>
      </c>
      <c r="D13" s="60" t="s">
        <v>43</v>
      </c>
      <c r="E13" s="60" t="s">
        <v>44</v>
      </c>
      <c r="G13" s="122"/>
      <c r="H13" s="6"/>
      <c r="I13" s="6"/>
      <c r="Z13" s="88">
        <v>128</v>
      </c>
      <c r="AA13" s="55">
        <f>+E35</f>
        <v>24.3</v>
      </c>
      <c r="AB13" s="55">
        <f t="shared" si="3"/>
        <v>24.3</v>
      </c>
      <c r="AC13" s="59">
        <f t="shared" si="4"/>
        <v>24.3</v>
      </c>
      <c r="AD13" s="56">
        <f t="shared" si="1"/>
        <v>0.94257230236199252</v>
      </c>
      <c r="AE13" s="57"/>
      <c r="AF13" s="57"/>
      <c r="AG13" s="58">
        <f t="shared" si="2"/>
        <v>94.257230236199248</v>
      </c>
      <c r="AH13"/>
    </row>
    <row r="14" spans="2:34" ht="27.6" x14ac:dyDescent="0.3">
      <c r="B14" s="61" t="s">
        <v>45</v>
      </c>
      <c r="C14" s="62" t="s">
        <v>46</v>
      </c>
      <c r="D14" s="62" t="s">
        <v>47</v>
      </c>
      <c r="E14" s="62" t="s">
        <v>48</v>
      </c>
      <c r="F14" s="1" t="s">
        <v>101</v>
      </c>
      <c r="G14" s="123"/>
      <c r="H14" s="63"/>
      <c r="I14" s="9"/>
      <c r="Z14" s="89">
        <v>90</v>
      </c>
      <c r="AA14" s="55">
        <f t="shared" ref="AA14:AA19" si="5">+E36</f>
        <v>21.3</v>
      </c>
      <c r="AB14" s="55">
        <f t="shared" si="3"/>
        <v>21.3</v>
      </c>
      <c r="AC14" s="59">
        <f t="shared" si="4"/>
        <v>45.6</v>
      </c>
      <c r="AD14" s="56">
        <f t="shared" si="1"/>
        <v>0.89223444393855378</v>
      </c>
      <c r="AE14" s="57"/>
      <c r="AF14" s="57"/>
      <c r="AG14" s="58">
        <f t="shared" si="2"/>
        <v>89.223444393855374</v>
      </c>
      <c r="AH14"/>
    </row>
    <row r="15" spans="2:34" ht="14.45" x14ac:dyDescent="0.3">
      <c r="B15" s="61"/>
      <c r="C15" s="62"/>
      <c r="D15" s="62"/>
      <c r="E15" s="64" t="s">
        <v>49</v>
      </c>
      <c r="G15" s="21"/>
      <c r="H15" s="8"/>
      <c r="I15" s="8"/>
      <c r="Z15" s="89">
        <v>64</v>
      </c>
      <c r="AA15" s="55">
        <f t="shared" si="5"/>
        <v>51.699999999999996</v>
      </c>
      <c r="AB15" s="55">
        <f t="shared" si="3"/>
        <v>51.699999999999996</v>
      </c>
      <c r="AC15" s="59">
        <f t="shared" si="4"/>
        <v>97.3</v>
      </c>
      <c r="AD15" s="56">
        <f t="shared" si="1"/>
        <v>0.77005288147415096</v>
      </c>
      <c r="AE15" s="57"/>
      <c r="AF15" s="57"/>
      <c r="AG15" s="58">
        <f t="shared" si="2"/>
        <v>77.005288147415101</v>
      </c>
      <c r="AH15"/>
    </row>
    <row r="16" spans="2:34" ht="14.45" x14ac:dyDescent="0.3">
      <c r="B16" s="65">
        <v>1</v>
      </c>
      <c r="C16" s="66">
        <v>1.7</v>
      </c>
      <c r="D16" s="66">
        <v>51.1</v>
      </c>
      <c r="E16" s="101">
        <f>D16-C16</f>
        <v>49.4</v>
      </c>
      <c r="G16" s="124" t="s">
        <v>102</v>
      </c>
      <c r="H16" s="125"/>
      <c r="I16" s="8"/>
      <c r="Z16" s="88">
        <v>45</v>
      </c>
      <c r="AA16" s="55">
        <f t="shared" si="5"/>
        <v>38.9</v>
      </c>
      <c r="AB16" s="55">
        <f t="shared" si="3"/>
        <v>38.9</v>
      </c>
      <c r="AC16" s="59">
        <f t="shared" si="4"/>
        <v>136.19999999999999</v>
      </c>
      <c r="AD16" s="56">
        <f t="shared" si="1"/>
        <v>0.67812129965857515</v>
      </c>
      <c r="AE16" s="57"/>
      <c r="AF16" s="57"/>
      <c r="AG16" s="58">
        <f t="shared" si="2"/>
        <v>67.812129965857508</v>
      </c>
      <c r="AH16"/>
    </row>
    <row r="17" spans="2:34" ht="14.45" x14ac:dyDescent="0.3">
      <c r="B17" s="65">
        <v>2</v>
      </c>
      <c r="C17" s="66">
        <v>1.7</v>
      </c>
      <c r="D17" s="66">
        <v>59.3</v>
      </c>
      <c r="E17" s="101">
        <f t="shared" ref="E17:E25" si="6">D17-C17</f>
        <v>57.599999999999994</v>
      </c>
      <c r="G17" s="126" t="s">
        <v>103</v>
      </c>
      <c r="H17" s="8"/>
      <c r="I17" s="8"/>
      <c r="K17" s="8"/>
      <c r="L17" s="8"/>
      <c r="M17" s="8"/>
      <c r="N17" s="8"/>
      <c r="Z17" s="88">
        <v>32</v>
      </c>
      <c r="AA17" s="55">
        <f t="shared" si="5"/>
        <v>44.099999999999994</v>
      </c>
      <c r="AB17" s="55">
        <f t="shared" si="3"/>
        <v>44.099999999999994</v>
      </c>
      <c r="AC17" s="59">
        <f t="shared" si="4"/>
        <v>180.29999999999998</v>
      </c>
      <c r="AD17" s="56">
        <f t="shared" si="1"/>
        <v>0.57390066320441335</v>
      </c>
      <c r="AE17" s="57"/>
      <c r="AF17" s="57"/>
      <c r="AG17" s="58">
        <f t="shared" si="2"/>
        <v>57.390066320441335</v>
      </c>
      <c r="AH17"/>
    </row>
    <row r="18" spans="2:34" ht="14.45" x14ac:dyDescent="0.3">
      <c r="B18" s="65">
        <v>3</v>
      </c>
      <c r="C18" s="66">
        <v>1.7</v>
      </c>
      <c r="D18" s="66">
        <v>61.6</v>
      </c>
      <c r="E18" s="101">
        <f t="shared" si="6"/>
        <v>59.9</v>
      </c>
      <c r="G18" s="127" t="s">
        <v>104</v>
      </c>
      <c r="H18" s="68"/>
      <c r="I18" s="68"/>
      <c r="J18" s="8"/>
      <c r="K18" s="8"/>
      <c r="L18" s="8"/>
      <c r="M18" s="8"/>
      <c r="N18" s="8"/>
      <c r="Z18" s="88">
        <v>22.5</v>
      </c>
      <c r="AA18" s="55">
        <f t="shared" si="5"/>
        <v>34.699999999999996</v>
      </c>
      <c r="AB18" s="55">
        <f t="shared" si="3"/>
        <v>34.699999999999996</v>
      </c>
      <c r="AC18" s="59">
        <f t="shared" si="4"/>
        <v>214.99999999999997</v>
      </c>
      <c r="AD18" s="56">
        <f t="shared" si="1"/>
        <v>0.49189485628923391</v>
      </c>
      <c r="AE18" s="57"/>
      <c r="AF18" s="57"/>
      <c r="AG18" s="58">
        <f t="shared" si="2"/>
        <v>49.189485628923393</v>
      </c>
      <c r="AH18"/>
    </row>
    <row r="19" spans="2:34" ht="14.45" x14ac:dyDescent="0.3">
      <c r="B19" s="65">
        <v>4</v>
      </c>
      <c r="C19" s="66">
        <v>1.7</v>
      </c>
      <c r="D19" s="66">
        <v>55.2</v>
      </c>
      <c r="E19" s="101">
        <f t="shared" si="6"/>
        <v>53.5</v>
      </c>
      <c r="F19" s="13" t="s">
        <v>50</v>
      </c>
      <c r="G19" s="42"/>
      <c r="H19" s="68"/>
      <c r="I19" s="68"/>
      <c r="J19" s="68"/>
      <c r="K19" s="68"/>
      <c r="L19" s="68"/>
      <c r="M19" s="68"/>
      <c r="N19" s="68"/>
      <c r="Z19" s="88">
        <v>16</v>
      </c>
      <c r="AA19" s="55">
        <f t="shared" si="5"/>
        <v>27.8</v>
      </c>
      <c r="AB19" s="55">
        <f t="shared" si="3"/>
        <v>27.8</v>
      </c>
      <c r="AC19" s="59">
        <f t="shared" si="4"/>
        <v>242.79999999999998</v>
      </c>
      <c r="AD19" s="56">
        <f t="shared" si="1"/>
        <v>0.42619567956756277</v>
      </c>
      <c r="AE19" s="69">
        <v>100</v>
      </c>
      <c r="AF19" s="56">
        <f t="shared" ref="AF19:AF27" si="7">+AE19/100*AD$19</f>
        <v>0.42619567956756277</v>
      </c>
      <c r="AG19" s="58">
        <f t="shared" si="2"/>
        <v>42.619567956756278</v>
      </c>
      <c r="AH19"/>
    </row>
    <row r="20" spans="2:34" ht="14.45" x14ac:dyDescent="0.3">
      <c r="B20" s="65">
        <v>5</v>
      </c>
      <c r="C20" s="66">
        <v>1.7</v>
      </c>
      <c r="D20" s="66">
        <v>52.2</v>
      </c>
      <c r="E20" s="101">
        <f t="shared" si="6"/>
        <v>50.5</v>
      </c>
      <c r="G20" s="17"/>
      <c r="H20" s="32"/>
      <c r="I20" s="32"/>
      <c r="J20" s="32"/>
      <c r="K20" s="71"/>
      <c r="L20" s="71"/>
      <c r="M20" s="71"/>
      <c r="N20" s="71"/>
      <c r="Z20" s="88">
        <v>8</v>
      </c>
      <c r="AA20" s="57"/>
      <c r="AB20" s="57"/>
      <c r="AC20" s="57"/>
      <c r="AD20" s="57"/>
      <c r="AE20" s="69">
        <v>80</v>
      </c>
      <c r="AF20" s="56">
        <f t="shared" si="7"/>
        <v>0.34095654365405026</v>
      </c>
      <c r="AG20" s="58">
        <f t="shared" ref="AG20:AG27" si="8">+AF20*100</f>
        <v>34.095654365405025</v>
      </c>
      <c r="AH20"/>
    </row>
    <row r="21" spans="2:34" ht="14.45" x14ac:dyDescent="0.3">
      <c r="B21" s="65">
        <v>6</v>
      </c>
      <c r="C21" s="66">
        <v>1.7</v>
      </c>
      <c r="D21" s="66">
        <v>55.4</v>
      </c>
      <c r="E21" s="101">
        <f t="shared" si="6"/>
        <v>53.699999999999996</v>
      </c>
      <c r="G21" s="17"/>
      <c r="H21" s="32"/>
      <c r="I21" s="32"/>
      <c r="J21" s="32"/>
      <c r="K21" s="71"/>
      <c r="L21" s="71"/>
      <c r="M21" s="71"/>
      <c r="N21" s="71"/>
      <c r="Z21" s="88">
        <v>4</v>
      </c>
      <c r="AA21" s="57"/>
      <c r="AB21" s="57"/>
      <c r="AC21" s="57"/>
      <c r="AD21" s="57"/>
      <c r="AE21" s="69">
        <v>63</v>
      </c>
      <c r="AF21" s="56">
        <f t="shared" si="7"/>
        <v>0.26850327812756453</v>
      </c>
      <c r="AG21" s="58">
        <f t="shared" si="8"/>
        <v>26.850327812756454</v>
      </c>
      <c r="AH21"/>
    </row>
    <row r="22" spans="2:34" ht="14.45" x14ac:dyDescent="0.3">
      <c r="B22" s="65">
        <v>7</v>
      </c>
      <c r="C22" s="66">
        <v>1.7</v>
      </c>
      <c r="D22" s="66">
        <v>54.3</v>
      </c>
      <c r="E22" s="101">
        <f t="shared" si="6"/>
        <v>52.599999999999994</v>
      </c>
      <c r="G22" s="17"/>
      <c r="H22" s="32"/>
      <c r="I22" s="32"/>
      <c r="J22" s="32"/>
      <c r="K22" s="71"/>
      <c r="L22" s="71"/>
      <c r="M22" s="71"/>
      <c r="N22" s="71"/>
      <c r="Z22" s="88">
        <v>2</v>
      </c>
      <c r="AA22" s="57"/>
      <c r="AB22" s="57"/>
      <c r="AC22" s="57"/>
      <c r="AD22" s="57"/>
      <c r="AE22" s="69">
        <v>54</v>
      </c>
      <c r="AF22" s="56">
        <f t="shared" si="7"/>
        <v>0.23014566696648392</v>
      </c>
      <c r="AG22" s="58">
        <f t="shared" si="8"/>
        <v>23.014566696648391</v>
      </c>
      <c r="AH22"/>
    </row>
    <row r="23" spans="2:34" ht="14.45" x14ac:dyDescent="0.3">
      <c r="B23" s="65">
        <v>8</v>
      </c>
      <c r="C23" s="66">
        <v>1.7</v>
      </c>
      <c r="D23" s="66">
        <v>50.8</v>
      </c>
      <c r="E23" s="101">
        <f t="shared" si="6"/>
        <v>49.099999999999994</v>
      </c>
      <c r="G23" s="17"/>
      <c r="H23" s="32"/>
      <c r="I23" s="32"/>
      <c r="J23" s="32"/>
      <c r="K23" s="71"/>
      <c r="L23" s="71"/>
      <c r="M23" s="71"/>
      <c r="N23" s="71"/>
      <c r="Z23" s="88">
        <v>1</v>
      </c>
      <c r="AA23" s="57"/>
      <c r="AB23" s="57"/>
      <c r="AC23" s="57"/>
      <c r="AD23" s="57"/>
      <c r="AE23" s="69">
        <v>46</v>
      </c>
      <c r="AF23" s="56">
        <f t="shared" si="7"/>
        <v>0.19605001260107888</v>
      </c>
      <c r="AG23" s="58">
        <f t="shared" si="8"/>
        <v>19.605001260107887</v>
      </c>
      <c r="AH23"/>
    </row>
    <row r="24" spans="2:34" ht="14.45" x14ac:dyDescent="0.3">
      <c r="B24" s="65">
        <v>9</v>
      </c>
      <c r="C24" s="66"/>
      <c r="D24" s="66"/>
      <c r="E24" s="101">
        <f t="shared" si="6"/>
        <v>0</v>
      </c>
      <c r="G24" s="17"/>
      <c r="H24" s="32"/>
      <c r="I24" s="32"/>
      <c r="J24" s="32"/>
      <c r="K24" s="71"/>
      <c r="L24" s="71"/>
      <c r="M24" s="71"/>
      <c r="N24" s="71"/>
      <c r="Z24" s="88">
        <v>0.5</v>
      </c>
      <c r="AA24" s="57"/>
      <c r="AB24" s="57"/>
      <c r="AC24" s="57"/>
      <c r="AD24" s="57"/>
      <c r="AE24" s="69">
        <v>35</v>
      </c>
      <c r="AF24" s="56">
        <f t="shared" si="7"/>
        <v>0.14916848784864695</v>
      </c>
      <c r="AG24" s="58">
        <f t="shared" si="8"/>
        <v>14.916848784864694</v>
      </c>
      <c r="AH24"/>
    </row>
    <row r="25" spans="2:34" ht="14.45" x14ac:dyDescent="0.3">
      <c r="B25" s="65">
        <v>10</v>
      </c>
      <c r="C25" s="66"/>
      <c r="D25" s="66"/>
      <c r="E25" s="101">
        <f t="shared" si="6"/>
        <v>0</v>
      </c>
      <c r="G25" s="17"/>
      <c r="H25" s="32"/>
      <c r="I25" s="32"/>
      <c r="J25" s="32"/>
      <c r="K25" s="71"/>
      <c r="L25" s="71"/>
      <c r="M25" s="71"/>
      <c r="N25" s="71"/>
      <c r="Z25" s="90">
        <v>0.25</v>
      </c>
      <c r="AA25" s="57"/>
      <c r="AB25" s="57"/>
      <c r="AC25" s="57"/>
      <c r="AD25" s="57"/>
      <c r="AE25" s="69">
        <v>11</v>
      </c>
      <c r="AF25" s="56">
        <f t="shared" si="7"/>
        <v>4.6881524752431902E-2</v>
      </c>
      <c r="AG25" s="58">
        <f t="shared" si="8"/>
        <v>4.6881524752431902</v>
      </c>
      <c r="AH25"/>
    </row>
    <row r="26" spans="2:34" ht="14.45" x14ac:dyDescent="0.3">
      <c r="B26" s="65" t="s">
        <v>51</v>
      </c>
      <c r="C26" s="66">
        <f>SUM(C16:C25)</f>
        <v>13.599999999999998</v>
      </c>
      <c r="D26" s="66">
        <f>SUM(D16:D25)</f>
        <v>439.9</v>
      </c>
      <c r="E26" s="101">
        <f>SUM(E16:E25)</f>
        <v>426.29999999999995</v>
      </c>
      <c r="G26" s="17"/>
      <c r="H26" s="32"/>
      <c r="I26" s="32"/>
      <c r="J26" s="32"/>
      <c r="K26" s="71"/>
      <c r="L26" s="71"/>
      <c r="M26" s="71"/>
      <c r="N26" s="71"/>
      <c r="Z26" s="90">
        <v>0.125</v>
      </c>
      <c r="AA26" s="57"/>
      <c r="AB26" s="57"/>
      <c r="AC26" s="57"/>
      <c r="AD26" s="57"/>
      <c r="AE26" s="69">
        <v>3</v>
      </c>
      <c r="AF26" s="91">
        <f t="shared" si="7"/>
        <v>1.2785870387026882E-2</v>
      </c>
      <c r="AG26" s="58">
        <f t="shared" si="8"/>
        <v>1.2785870387026883</v>
      </c>
      <c r="AH26"/>
    </row>
    <row r="27" spans="2:34" ht="14.45" x14ac:dyDescent="0.3">
      <c r="B27" s="17"/>
      <c r="C27" s="8"/>
      <c r="D27" s="8"/>
      <c r="E27" s="8"/>
      <c r="G27" s="102"/>
      <c r="H27" s="103"/>
      <c r="I27" s="103"/>
      <c r="J27" s="73"/>
      <c r="K27" s="8"/>
      <c r="L27" s="8"/>
      <c r="M27" s="8"/>
      <c r="N27" s="8"/>
      <c r="Z27" s="90">
        <v>6.25E-2</v>
      </c>
      <c r="AA27" s="55"/>
      <c r="AB27" s="55"/>
      <c r="AC27" s="55"/>
      <c r="AD27" s="55"/>
      <c r="AE27" s="69">
        <v>1</v>
      </c>
      <c r="AF27" s="91">
        <f t="shared" si="7"/>
        <v>4.2619567956756277E-3</v>
      </c>
      <c r="AG27" s="58">
        <f t="shared" si="8"/>
        <v>0.42619567956756277</v>
      </c>
      <c r="AH27"/>
    </row>
    <row r="28" spans="2:34" ht="17.45" x14ac:dyDescent="0.3">
      <c r="B28" s="161" t="s">
        <v>52</v>
      </c>
      <c r="C28" s="162"/>
      <c r="D28" s="162"/>
      <c r="E28" s="162"/>
      <c r="F28" s="162"/>
      <c r="G28" s="68"/>
      <c r="H28" s="8"/>
      <c r="I28" s="8"/>
      <c r="J28" s="8"/>
      <c r="K28" s="8"/>
      <c r="Z28" s="49"/>
      <c r="AA28" s="49">
        <f>+E43</f>
        <v>184.2</v>
      </c>
      <c r="AB28" s="92">
        <f>(AD4/E45)*AA28</f>
        <v>180.34076655438594</v>
      </c>
      <c r="AE28"/>
    </row>
    <row r="29" spans="2:34" ht="14.45" x14ac:dyDescent="0.3">
      <c r="B29" s="74" t="s">
        <v>41</v>
      </c>
      <c r="C29" s="74" t="s">
        <v>42</v>
      </c>
      <c r="D29" s="74" t="s">
        <v>43</v>
      </c>
      <c r="E29" s="74" t="s">
        <v>44</v>
      </c>
      <c r="F29" s="74" t="s">
        <v>53</v>
      </c>
      <c r="AA29" s="1">
        <f>SUM(AA10:AA28)</f>
        <v>427</v>
      </c>
      <c r="AB29" s="1">
        <f>SUM(AB10:AB28)</f>
        <v>423.14076655438589</v>
      </c>
      <c r="AC29"/>
    </row>
    <row r="30" spans="2:34" ht="55.15" x14ac:dyDescent="0.3">
      <c r="B30" s="54" t="s">
        <v>54</v>
      </c>
      <c r="C30" s="54" t="s">
        <v>55</v>
      </c>
      <c r="D30" s="54" t="s">
        <v>122</v>
      </c>
      <c r="E30" s="54" t="s">
        <v>56</v>
      </c>
      <c r="F30" s="54" t="s">
        <v>57</v>
      </c>
      <c r="H30" s="76"/>
      <c r="AC30"/>
    </row>
    <row r="31" spans="2:34" ht="17.45" x14ac:dyDescent="0.3">
      <c r="B31" s="55"/>
      <c r="C31" s="54"/>
      <c r="D31" s="54"/>
      <c r="E31" s="64" t="s">
        <v>49</v>
      </c>
      <c r="F31" s="64" t="s">
        <v>58</v>
      </c>
      <c r="L31" s="77"/>
      <c r="AA31" s="93" t="s">
        <v>73</v>
      </c>
      <c r="AB31" s="93" t="s">
        <v>10</v>
      </c>
      <c r="AC31"/>
    </row>
    <row r="32" spans="2:34" ht="14.45" x14ac:dyDescent="0.3">
      <c r="B32" s="70" t="s">
        <v>59</v>
      </c>
      <c r="C32" s="54"/>
      <c r="D32" s="54"/>
      <c r="E32" s="54">
        <f>C32-D32</f>
        <v>0</v>
      </c>
      <c r="F32" s="75">
        <f>E32</f>
        <v>0</v>
      </c>
      <c r="AA32" s="93">
        <v>16</v>
      </c>
      <c r="AB32" s="94">
        <f ca="1">10^(FORECAST(AA32,LOG(OFFSET(Z$10:Z$27,MATCH(AA32,AG$10:AG$27,-1)-1,0,2)),OFFSET(AG$10:AG$27,MATCH(AA32,AG$10:AG$27,-1)-1,0,2)))</f>
        <v>0.58684040012605765</v>
      </c>
      <c r="AC32"/>
    </row>
    <row r="33" spans="2:34" ht="14.45" x14ac:dyDescent="0.3">
      <c r="B33" s="70" t="s">
        <v>60</v>
      </c>
      <c r="C33" s="54"/>
      <c r="D33" s="54"/>
      <c r="E33" s="54">
        <f t="shared" ref="E33:E43" si="9">C33-D33</f>
        <v>0</v>
      </c>
      <c r="F33" s="75">
        <f>F32+E33</f>
        <v>0</v>
      </c>
      <c r="AA33" s="93">
        <v>50</v>
      </c>
      <c r="AB33" s="94">
        <f ca="1">10^(FORECAST(AA33,LOG(OFFSET(Z$10:Z$27,MATCH(AA33,AG$10:AG$27,-1)-1,0,2)),OFFSET(AG$10:AG$27,MATCH(AA33,AG$10:AG$27,-1)-1,0,2)))</f>
        <v>23.297066705022917</v>
      </c>
      <c r="AC33"/>
    </row>
    <row r="34" spans="2:34" ht="15" x14ac:dyDescent="0.25">
      <c r="B34" s="70" t="s">
        <v>61</v>
      </c>
      <c r="C34" s="54"/>
      <c r="D34" s="54"/>
      <c r="E34" s="54">
        <f t="shared" si="9"/>
        <v>0</v>
      </c>
      <c r="F34" s="139">
        <f t="shared" ref="F34:F43" si="10">F33+E34</f>
        <v>0</v>
      </c>
      <c r="AA34" s="93">
        <v>84</v>
      </c>
      <c r="AB34" s="94">
        <f ca="1">10^(FORECAST(AA34,LOG(OFFSET(Z$10:Z$27,MATCH(AA34,AG$10:AG$27,-1)-1,0,2)),OFFSET(AG$10:AG$27,MATCH(AA34,AG$10:AG$27,-1)-1,0,2)))</f>
        <v>77.793545055495898</v>
      </c>
      <c r="AC34"/>
    </row>
    <row r="35" spans="2:34" ht="15" x14ac:dyDescent="0.25">
      <c r="B35" s="70" t="s">
        <v>62</v>
      </c>
      <c r="C35" s="78">
        <v>26</v>
      </c>
      <c r="D35" s="54">
        <v>1.7</v>
      </c>
      <c r="E35" s="54">
        <f t="shared" si="9"/>
        <v>24.3</v>
      </c>
      <c r="F35" s="139">
        <f t="shared" si="10"/>
        <v>24.3</v>
      </c>
      <c r="Y35"/>
      <c r="Z35"/>
      <c r="AA35" s="93">
        <v>90</v>
      </c>
      <c r="AB35" s="94">
        <f ca="1">10^(FORECAST(AA35,LOG(OFFSET(Z$10:Z$27,MATCH(AA35,AG$10:AG$27,-1)-1,0,2)),OFFSET(AG$10:AG$27,MATCH(AA35,AG$10:AG$27,-1)-1,0,2)))</f>
        <v>95.025595724303884</v>
      </c>
      <c r="AC35"/>
    </row>
    <row r="36" spans="2:34" ht="15" x14ac:dyDescent="0.25">
      <c r="B36" s="79" t="s">
        <v>63</v>
      </c>
      <c r="C36" s="66">
        <v>23</v>
      </c>
      <c r="D36" s="54">
        <v>1.7</v>
      </c>
      <c r="E36" s="54">
        <f t="shared" si="9"/>
        <v>21.3</v>
      </c>
      <c r="F36" s="139">
        <f t="shared" si="10"/>
        <v>45.6</v>
      </c>
      <c r="Y36"/>
      <c r="Z36"/>
      <c r="AA36" s="95"/>
      <c r="AB36" s="95"/>
      <c r="AC36"/>
    </row>
    <row r="37" spans="2:34" ht="15" x14ac:dyDescent="0.25">
      <c r="B37" s="79" t="s">
        <v>64</v>
      </c>
      <c r="C37" s="66">
        <v>53.4</v>
      </c>
      <c r="D37" s="54">
        <v>1.7</v>
      </c>
      <c r="E37" s="54">
        <f t="shared" si="9"/>
        <v>51.699999999999996</v>
      </c>
      <c r="F37" s="139">
        <f t="shared" si="10"/>
        <v>97.3</v>
      </c>
      <c r="Y37"/>
      <c r="Z37"/>
      <c r="AA37" s="93" t="s">
        <v>74</v>
      </c>
      <c r="AB37" s="94">
        <f ca="1">0.5*(AB34/AB33+AB33/AB32)</f>
        <v>21.51917596142431</v>
      </c>
      <c r="AC37"/>
    </row>
    <row r="38" spans="2:34" ht="15" x14ac:dyDescent="0.25">
      <c r="B38" s="66">
        <v>45</v>
      </c>
      <c r="C38" s="66">
        <v>40.6</v>
      </c>
      <c r="D38" s="54">
        <v>1.7</v>
      </c>
      <c r="E38" s="54">
        <f t="shared" si="9"/>
        <v>38.9</v>
      </c>
      <c r="F38" s="139">
        <f t="shared" si="10"/>
        <v>136.19999999999999</v>
      </c>
      <c r="Y38"/>
      <c r="Z38"/>
      <c r="AA38" s="95" t="s">
        <v>75</v>
      </c>
      <c r="AB38" s="94">
        <f>100-AG22</f>
        <v>76.985433303351613</v>
      </c>
      <c r="AC38"/>
    </row>
    <row r="39" spans="2:34" ht="15" x14ac:dyDescent="0.25">
      <c r="B39" s="66">
        <v>32</v>
      </c>
      <c r="C39" s="66">
        <v>45.8</v>
      </c>
      <c r="D39" s="54">
        <v>1.7</v>
      </c>
      <c r="E39" s="54">
        <f t="shared" si="9"/>
        <v>44.099999999999994</v>
      </c>
      <c r="F39" s="139">
        <f t="shared" si="10"/>
        <v>180.29999999999998</v>
      </c>
      <c r="Y39"/>
      <c r="Z39"/>
      <c r="AA39" s="95" t="s">
        <v>76</v>
      </c>
      <c r="AB39" s="94">
        <f>AG22-AG27</f>
        <v>22.588371017080828</v>
      </c>
      <c r="AC39"/>
    </row>
    <row r="40" spans="2:34" ht="15" x14ac:dyDescent="0.25">
      <c r="B40" s="66">
        <v>22.5</v>
      </c>
      <c r="C40" s="66">
        <v>36.4</v>
      </c>
      <c r="D40" s="54">
        <v>1.7</v>
      </c>
      <c r="E40" s="54">
        <f t="shared" si="9"/>
        <v>34.699999999999996</v>
      </c>
      <c r="F40" s="139">
        <f t="shared" si="10"/>
        <v>214.99999999999997</v>
      </c>
      <c r="Y40"/>
      <c r="Z40"/>
      <c r="AA40" s="93" t="s">
        <v>77</v>
      </c>
      <c r="AB40" s="94">
        <f>AG27</f>
        <v>0.42619567956756277</v>
      </c>
      <c r="AC40"/>
    </row>
    <row r="41" spans="2:34" ht="15" x14ac:dyDescent="0.25">
      <c r="B41" s="66">
        <v>16</v>
      </c>
      <c r="C41" s="66">
        <v>29.5</v>
      </c>
      <c r="D41" s="54">
        <v>1.7</v>
      </c>
      <c r="E41" s="54">
        <f t="shared" si="9"/>
        <v>27.8</v>
      </c>
      <c r="F41" s="139">
        <f t="shared" si="10"/>
        <v>242.79999999999998</v>
      </c>
      <c r="Y41"/>
      <c r="Z41"/>
      <c r="AA41"/>
      <c r="AB41"/>
      <c r="AC41"/>
    </row>
    <row r="42" spans="2:34" ht="15" x14ac:dyDescent="0.25">
      <c r="B42" s="66">
        <v>8</v>
      </c>
      <c r="C42" s="66"/>
      <c r="D42" s="54"/>
      <c r="E42" s="54">
        <f t="shared" si="9"/>
        <v>0</v>
      </c>
      <c r="F42" s="139">
        <f t="shared" si="10"/>
        <v>242.79999999999998</v>
      </c>
      <c r="X42"/>
      <c r="Y42"/>
      <c r="Z42"/>
      <c r="AA42"/>
      <c r="AB42"/>
      <c r="AC42"/>
    </row>
    <row r="43" spans="2:34" ht="15.75" thickBot="1" x14ac:dyDescent="0.3">
      <c r="B43" s="145" t="s">
        <v>105</v>
      </c>
      <c r="C43" s="146">
        <v>251.6</v>
      </c>
      <c r="D43" s="146">
        <v>67.400000000000006</v>
      </c>
      <c r="E43" s="149">
        <f t="shared" si="9"/>
        <v>184.2</v>
      </c>
      <c r="F43" s="150">
        <f t="shared" si="10"/>
        <v>427</v>
      </c>
      <c r="G43" s="8"/>
      <c r="Y43"/>
      <c r="Z43"/>
      <c r="AA43"/>
      <c r="AB43"/>
      <c r="AC43"/>
      <c r="AD43"/>
      <c r="AE43"/>
    </row>
    <row r="44" spans="2:34" ht="16.5" thickTop="1" thickBot="1" x14ac:dyDescent="0.3">
      <c r="B44" s="143" t="s">
        <v>51</v>
      </c>
      <c r="C44" s="144">
        <f>SUM(C32:C43)</f>
        <v>506.3</v>
      </c>
      <c r="D44" s="144">
        <f t="shared" ref="D44" si="11">SUM(D32:D43)</f>
        <v>79.300000000000011</v>
      </c>
      <c r="E44" s="144">
        <f>C44-D44</f>
        <v>427</v>
      </c>
      <c r="F44" s="147"/>
      <c r="G44" s="8"/>
      <c r="Y44"/>
      <c r="Z44"/>
      <c r="AA44"/>
      <c r="AB44"/>
      <c r="AC44"/>
      <c r="AD44"/>
      <c r="AE44"/>
    </row>
    <row r="45" spans="2:34" ht="30.75" thickTop="1" thickBot="1" x14ac:dyDescent="0.3">
      <c r="B45" s="142" t="s">
        <v>106</v>
      </c>
      <c r="C45" s="141">
        <v>18.8</v>
      </c>
      <c r="D45" s="148">
        <v>1.7</v>
      </c>
      <c r="E45" s="151">
        <f>C45-D45</f>
        <v>17.100000000000001</v>
      </c>
      <c r="F45" s="8"/>
      <c r="Y45"/>
      <c r="Z45"/>
      <c r="AA45"/>
      <c r="AB45"/>
      <c r="AC45"/>
      <c r="AD45"/>
    </row>
    <row r="46" spans="2:34" ht="15.75" thickTop="1" x14ac:dyDescent="0.25">
      <c r="B46" s="80" t="s">
        <v>65</v>
      </c>
      <c r="J46" s="8"/>
      <c r="Z46"/>
      <c r="AA46"/>
      <c r="AB46"/>
      <c r="AC46"/>
      <c r="AD46"/>
      <c r="AE46"/>
      <c r="AF46"/>
      <c r="AG46"/>
      <c r="AH46"/>
    </row>
    <row r="47" spans="2:34" ht="15" x14ac:dyDescent="0.25">
      <c r="B47" s="80"/>
      <c r="J47" s="8"/>
      <c r="Z47"/>
      <c r="AA47"/>
      <c r="AB47"/>
      <c r="AC47"/>
      <c r="AD47"/>
      <c r="AE47"/>
      <c r="AF47"/>
      <c r="AG47"/>
      <c r="AH47"/>
    </row>
    <row r="48" spans="2:34" ht="15.75" x14ac:dyDescent="0.25">
      <c r="B48" s="154" t="s">
        <v>66</v>
      </c>
      <c r="C48" s="154"/>
      <c r="D48" s="154"/>
      <c r="E48" s="81" t="s">
        <v>127</v>
      </c>
      <c r="F48" s="67"/>
      <c r="G48" s="82" t="s">
        <v>67</v>
      </c>
      <c r="H48" s="83">
        <f>+(E26-E44)/E26</f>
        <v>-1.6420361247948523E-3</v>
      </c>
      <c r="I48" s="81"/>
      <c r="J48" s="8"/>
      <c r="Q48" s="84"/>
      <c r="Z48"/>
      <c r="AA48"/>
      <c r="AB48"/>
      <c r="AC48"/>
      <c r="AD48"/>
      <c r="AE48"/>
      <c r="AF48"/>
      <c r="AG48"/>
      <c r="AH48"/>
    </row>
    <row r="49" spans="2:34" ht="15" x14ac:dyDescent="0.25">
      <c r="B49" s="155" t="s">
        <v>68</v>
      </c>
      <c r="C49" s="155"/>
      <c r="D49" s="155"/>
      <c r="E49" s="82">
        <v>426.3</v>
      </c>
      <c r="Z49"/>
      <c r="AA49"/>
      <c r="AB49"/>
      <c r="AC49"/>
      <c r="AD49"/>
      <c r="AE49"/>
      <c r="AF49"/>
      <c r="AG49"/>
      <c r="AH49"/>
    </row>
    <row r="50" spans="2:34" ht="15" x14ac:dyDescent="0.25">
      <c r="B50" s="72"/>
      <c r="C50" s="72"/>
      <c r="D50" s="72"/>
      <c r="Z50"/>
      <c r="AA50"/>
      <c r="AB50"/>
      <c r="AC50"/>
      <c r="AD50"/>
      <c r="AE50"/>
      <c r="AF50"/>
      <c r="AG50"/>
      <c r="AH50"/>
    </row>
    <row r="51" spans="2:34" ht="15" x14ac:dyDescent="0.25">
      <c r="B51" s="156" t="s">
        <v>69</v>
      </c>
      <c r="C51" s="156"/>
      <c r="D51" s="156"/>
      <c r="E51" s="156"/>
      <c r="F51" s="156"/>
      <c r="G51" s="156"/>
      <c r="H51" s="156"/>
      <c r="I51" s="156"/>
      <c r="J51" s="85"/>
      <c r="Z51"/>
      <c r="AA51"/>
      <c r="AB51"/>
      <c r="AC51"/>
      <c r="AD51"/>
      <c r="AE51"/>
      <c r="AF51"/>
      <c r="AG51"/>
      <c r="AH51"/>
    </row>
    <row r="52" spans="2:34" ht="15" x14ac:dyDescent="0.25">
      <c r="B52" s="156"/>
      <c r="C52" s="156"/>
      <c r="D52" s="156"/>
      <c r="E52" s="156"/>
      <c r="F52" s="156"/>
      <c r="G52" s="156"/>
      <c r="H52" s="156"/>
      <c r="I52" s="156"/>
      <c r="J52" s="85"/>
      <c r="Z52"/>
      <c r="AA52"/>
      <c r="AB52"/>
      <c r="AC52"/>
      <c r="AD52"/>
      <c r="AE52"/>
      <c r="AF52"/>
      <c r="AG52"/>
      <c r="AH52"/>
    </row>
    <row r="53" spans="2:34" ht="15" x14ac:dyDescent="0.25">
      <c r="B53" s="6" t="s">
        <v>70</v>
      </c>
      <c r="C53" s="6" t="s">
        <v>121</v>
      </c>
      <c r="E53" s="1" t="s">
        <v>71</v>
      </c>
      <c r="F53" s="6"/>
      <c r="G53" s="86">
        <v>586</v>
      </c>
      <c r="H53" s="41" t="s">
        <v>72</v>
      </c>
      <c r="I53" s="122">
        <v>1</v>
      </c>
      <c r="J53" s="1" t="s">
        <v>108</v>
      </c>
      <c r="K53" s="6">
        <v>1</v>
      </c>
      <c r="Z53"/>
      <c r="AA53"/>
      <c r="AB53"/>
      <c r="AC53"/>
      <c r="AD53"/>
      <c r="AE53"/>
      <c r="AF53"/>
      <c r="AG53"/>
      <c r="AH53"/>
    </row>
    <row r="54" spans="2:34" ht="15" x14ac:dyDescent="0.25">
      <c r="J54" s="71"/>
      <c r="Z54"/>
      <c r="AA54"/>
      <c r="AB54"/>
      <c r="AC54"/>
      <c r="AD54"/>
      <c r="AE54"/>
      <c r="AF54"/>
      <c r="AG54"/>
      <c r="AH54"/>
    </row>
    <row r="55" spans="2:34" ht="15" x14ac:dyDescent="0.25">
      <c r="J55" s="71"/>
      <c r="Z55"/>
      <c r="AA55"/>
      <c r="AB55"/>
      <c r="AC55"/>
      <c r="AD55"/>
      <c r="AE55"/>
      <c r="AF55"/>
      <c r="AG55"/>
      <c r="AH55"/>
    </row>
    <row r="56" spans="2:34" ht="15" x14ac:dyDescent="0.25">
      <c r="J56" s="71"/>
      <c r="Z56"/>
      <c r="AA56"/>
      <c r="AB56"/>
      <c r="AC56"/>
      <c r="AD56"/>
      <c r="AE56"/>
      <c r="AF56"/>
      <c r="AG56"/>
      <c r="AH56"/>
    </row>
    <row r="57" spans="2:34" ht="15" x14ac:dyDescent="0.25">
      <c r="J57" s="71"/>
      <c r="Z57"/>
      <c r="AA57"/>
      <c r="AB57"/>
      <c r="AC57"/>
      <c r="AD57"/>
      <c r="AE57"/>
      <c r="AF57"/>
      <c r="AG57"/>
      <c r="AH57"/>
    </row>
    <row r="58" spans="2:34" ht="15" x14ac:dyDescent="0.25">
      <c r="B58" s="8"/>
      <c r="C58" s="8"/>
      <c r="Z58"/>
      <c r="AA58"/>
      <c r="AB58"/>
      <c r="AC58"/>
      <c r="AD58"/>
      <c r="AE58"/>
      <c r="AF58"/>
      <c r="AG58"/>
      <c r="AH58"/>
    </row>
  </sheetData>
  <mergeCells count="8">
    <mergeCell ref="B48:D48"/>
    <mergeCell ref="B49:D49"/>
    <mergeCell ref="B51:I52"/>
    <mergeCell ref="Z1:AG1"/>
    <mergeCell ref="B3:J3"/>
    <mergeCell ref="B12:E12"/>
    <mergeCell ref="B28:F28"/>
    <mergeCell ref="AA7:AG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1"/>
  <sheetViews>
    <sheetView zoomScale="90" zoomScaleNormal="90" workbookViewId="0">
      <selection activeCell="Z30" sqref="Z30:AF30"/>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5" width="9.7109375" style="1" customWidth="1"/>
    <col min="6" max="6" width="11.5703125" style="1" customWidth="1"/>
    <col min="7" max="7" width="6.7109375" style="1" customWidth="1"/>
    <col min="8" max="8" width="6.7109375" style="7" customWidth="1"/>
    <col min="9" max="9" width="6.7109375" style="8" customWidth="1"/>
    <col min="10" max="12" width="9.7109375" style="8" customWidth="1"/>
    <col min="13" max="13" width="11" style="8" customWidth="1"/>
    <col min="14" max="14" width="6.7109375" style="8" customWidth="1"/>
    <col min="15" max="15" width="7.85546875" style="8" customWidth="1"/>
    <col min="16" max="16" width="6.7109375" style="8" customWidth="1"/>
    <col min="17" max="20" width="9.7109375" style="8" customWidth="1"/>
    <col min="21" max="21" width="6.7109375" style="1" customWidth="1"/>
    <col min="22"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57" t="s">
        <v>139</v>
      </c>
      <c r="C2" s="157"/>
      <c r="D2" s="157"/>
      <c r="E2" s="157"/>
      <c r="F2" s="157"/>
      <c r="G2" s="157"/>
      <c r="H2" s="157"/>
      <c r="I2" s="157"/>
      <c r="J2" s="157"/>
      <c r="K2" s="157"/>
      <c r="L2" s="157"/>
      <c r="M2" s="157"/>
      <c r="N2" s="157"/>
      <c r="O2" s="157"/>
      <c r="P2" s="157"/>
      <c r="Q2" s="157"/>
      <c r="R2" s="157"/>
      <c r="S2" s="157"/>
      <c r="T2" s="157"/>
      <c r="U2" s="157"/>
      <c r="V2" s="157"/>
      <c r="Y2" s="157" t="s">
        <v>139</v>
      </c>
      <c r="Z2" s="157"/>
      <c r="AA2" s="157"/>
      <c r="AB2" s="157"/>
      <c r="AC2" s="157"/>
      <c r="AD2" s="157"/>
      <c r="AE2" s="157"/>
      <c r="AF2" s="157"/>
    </row>
    <row r="3" spans="2:33" ht="22.9" x14ac:dyDescent="0.4">
      <c r="B3" s="4"/>
      <c r="C3" s="4"/>
      <c r="D3" s="4"/>
      <c r="E3" s="4"/>
      <c r="F3" s="4"/>
      <c r="G3" s="4"/>
      <c r="H3" s="5"/>
      <c r="I3" s="4"/>
      <c r="J3" s="4"/>
      <c r="K3" s="4"/>
      <c r="L3" s="4"/>
      <c r="M3" s="4"/>
      <c r="N3" s="4"/>
      <c r="O3" s="4"/>
      <c r="P3" s="4"/>
      <c r="Q3" s="4"/>
      <c r="R3" s="4"/>
      <c r="S3" s="4"/>
      <c r="T3" s="4"/>
      <c r="U3" s="3"/>
      <c r="Y3" s="4"/>
      <c r="Z3" s="4"/>
      <c r="AA3" s="4"/>
      <c r="AB3" s="4"/>
      <c r="AC3" s="4"/>
      <c r="AD3" s="4"/>
      <c r="AE3" s="4"/>
      <c r="AF3" s="4"/>
    </row>
    <row r="4" spans="2:33" ht="13.9" x14ac:dyDescent="0.25">
      <c r="B4" s="187" t="s">
        <v>0</v>
      </c>
      <c r="C4" s="187"/>
      <c r="D4" s="6" t="s">
        <v>128</v>
      </c>
      <c r="E4" s="6"/>
      <c r="F4" s="6"/>
      <c r="G4" s="6"/>
      <c r="J4" s="1"/>
      <c r="K4" s="6" t="s">
        <v>1</v>
      </c>
      <c r="L4" s="6" t="s">
        <v>131</v>
      </c>
      <c r="M4" s="6"/>
      <c r="N4" s="6"/>
      <c r="O4" s="6"/>
      <c r="P4" s="6"/>
      <c r="Q4" s="6"/>
      <c r="R4" s="6"/>
      <c r="S4" s="6"/>
      <c r="T4" s="6"/>
      <c r="Y4" s="8" t="s">
        <v>0</v>
      </c>
      <c r="Z4" s="6" t="str">
        <f>D4</f>
        <v>Susitna</v>
      </c>
      <c r="AA4" s="6"/>
      <c r="AB4" s="1"/>
    </row>
    <row r="5" spans="2:33" ht="13.9" x14ac:dyDescent="0.25">
      <c r="B5" s="184" t="s">
        <v>4</v>
      </c>
      <c r="C5" s="184"/>
      <c r="D5" s="9">
        <v>179.9</v>
      </c>
      <c r="E5" s="9"/>
      <c r="F5" s="9"/>
      <c r="G5" s="9"/>
      <c r="J5" s="1"/>
      <c r="K5" s="184" t="s">
        <v>6</v>
      </c>
      <c r="L5" s="184"/>
      <c r="M5" s="9" t="s">
        <v>132</v>
      </c>
      <c r="N5" s="9"/>
      <c r="O5" s="9"/>
      <c r="P5" s="9"/>
      <c r="Q5" s="9"/>
      <c r="R5" s="9"/>
      <c r="S5" s="9"/>
      <c r="T5" s="9"/>
      <c r="Y5" s="8" t="s">
        <v>3</v>
      </c>
      <c r="Z5" s="9">
        <f>D5</f>
        <v>179.9</v>
      </c>
      <c r="AA5" s="9"/>
      <c r="AB5" s="1"/>
    </row>
    <row r="6" spans="2:33" ht="13.9" x14ac:dyDescent="0.25">
      <c r="B6" s="184" t="s">
        <v>5</v>
      </c>
      <c r="C6" s="184"/>
      <c r="D6" s="10">
        <v>41830</v>
      </c>
      <c r="E6" s="11"/>
      <c r="F6" s="9">
        <v>1500</v>
      </c>
      <c r="G6" s="9"/>
      <c r="J6" s="1"/>
      <c r="K6" s="8" t="s">
        <v>118</v>
      </c>
      <c r="M6" s="140">
        <v>3210686.8</v>
      </c>
      <c r="N6" s="9"/>
      <c r="O6" s="9"/>
      <c r="P6" s="9"/>
      <c r="Q6" s="9"/>
      <c r="R6" s="9"/>
      <c r="S6" s="9"/>
      <c r="T6" s="9"/>
      <c r="U6" s="9"/>
      <c r="V6" s="9"/>
      <c r="Y6" s="8" t="s">
        <v>5</v>
      </c>
      <c r="Z6" s="10">
        <f>D6</f>
        <v>41830</v>
      </c>
      <c r="AA6" s="11"/>
    </row>
    <row r="7" spans="2:33" ht="13.9" x14ac:dyDescent="0.25">
      <c r="B7" s="184" t="s">
        <v>110</v>
      </c>
      <c r="C7" s="184"/>
      <c r="D7" s="9" t="s">
        <v>124</v>
      </c>
      <c r="E7" s="9"/>
      <c r="F7" s="9"/>
      <c r="G7" s="9"/>
      <c r="J7" s="13"/>
      <c r="K7" s="14" t="s">
        <v>119</v>
      </c>
      <c r="L7" s="14"/>
      <c r="M7" s="15">
        <v>1856926.7</v>
      </c>
      <c r="N7" s="16"/>
      <c r="O7" s="16"/>
      <c r="P7" s="16"/>
      <c r="Q7" s="9"/>
      <c r="R7" s="9"/>
      <c r="S7" s="9"/>
      <c r="T7" s="9"/>
      <c r="U7" s="9"/>
      <c r="V7" s="9"/>
      <c r="Y7" s="8"/>
      <c r="Z7" s="8"/>
      <c r="AA7" s="8"/>
      <c r="AE7" s="17"/>
    </row>
    <row r="8" spans="2:33" ht="13.9" x14ac:dyDescent="0.25">
      <c r="B8" s="15" t="s">
        <v>100</v>
      </c>
      <c r="C8" s="15"/>
      <c r="D8" s="9" t="s">
        <v>125</v>
      </c>
      <c r="E8" s="9"/>
      <c r="F8" s="9"/>
      <c r="G8" s="9"/>
      <c r="J8" s="13"/>
      <c r="K8" s="14" t="s">
        <v>8</v>
      </c>
      <c r="L8" s="14"/>
      <c r="M8" s="15" t="s">
        <v>133</v>
      </c>
      <c r="N8" s="16"/>
      <c r="O8" s="16"/>
      <c r="P8" s="16"/>
      <c r="Q8" s="9"/>
      <c r="R8" s="9"/>
      <c r="S8" s="9"/>
      <c r="T8" s="9"/>
      <c r="U8" s="9"/>
      <c r="V8" s="9"/>
      <c r="Y8" s="8"/>
      <c r="Z8" s="8"/>
      <c r="AA8" s="8"/>
      <c r="AE8" s="17"/>
    </row>
    <row r="9" spans="2:33" ht="13.9" x14ac:dyDescent="0.25">
      <c r="B9" s="137" t="s">
        <v>116</v>
      </c>
      <c r="C9" s="137"/>
      <c r="D9" s="9"/>
      <c r="E9" s="9"/>
      <c r="F9" s="9"/>
      <c r="G9" s="9" t="s">
        <v>129</v>
      </c>
      <c r="K9" s="9"/>
      <c r="L9" s="9"/>
      <c r="M9" s="9"/>
      <c r="N9" s="9"/>
      <c r="O9" s="9"/>
      <c r="P9" s="9"/>
      <c r="Q9" s="9"/>
      <c r="R9" s="9"/>
      <c r="S9" s="9"/>
      <c r="T9" s="9"/>
      <c r="U9" s="9"/>
      <c r="V9" s="9"/>
      <c r="Y9" s="8" t="s">
        <v>9</v>
      </c>
      <c r="Z9" s="8"/>
      <c r="AA9" s="8"/>
      <c r="AB9" s="18"/>
      <c r="AC9" s="17"/>
      <c r="AD9" s="17"/>
      <c r="AE9" s="17"/>
    </row>
    <row r="10" spans="2:33" ht="13.9" x14ac:dyDescent="0.25">
      <c r="B10" s="6" t="s">
        <v>117</v>
      </c>
      <c r="C10" s="6"/>
      <c r="D10" s="9" t="s">
        <v>130</v>
      </c>
      <c r="E10" s="9"/>
      <c r="F10" s="9"/>
      <c r="G10" s="9"/>
      <c r="H10" s="2"/>
      <c r="I10" s="1"/>
      <c r="J10" s="1"/>
      <c r="K10" s="9"/>
      <c r="L10" s="9"/>
      <c r="M10" s="9"/>
      <c r="N10" s="9"/>
      <c r="O10" s="9"/>
      <c r="P10" s="9"/>
      <c r="Q10" s="9"/>
      <c r="R10" s="9"/>
      <c r="S10" s="9"/>
      <c r="T10" s="9"/>
      <c r="U10" s="9"/>
      <c r="V10" s="9"/>
      <c r="Y10" s="6" t="s">
        <v>120</v>
      </c>
      <c r="Z10" s="6"/>
      <c r="AA10" s="6"/>
      <c r="AB10" s="19"/>
      <c r="AC10" s="20"/>
      <c r="AD10" s="20"/>
      <c r="AE10" s="20"/>
      <c r="AF10" s="6"/>
    </row>
    <row r="11" spans="2:33" s="8" customFormat="1" ht="15.6" x14ac:dyDescent="0.3">
      <c r="B11" s="21"/>
      <c r="C11" s="185"/>
      <c r="D11" s="185"/>
      <c r="E11" s="185"/>
      <c r="F11" s="185"/>
      <c r="G11" s="185"/>
      <c r="H11" s="185"/>
      <c r="I11" s="22"/>
      <c r="J11" s="22"/>
      <c r="K11" s="22"/>
      <c r="L11" s="22"/>
      <c r="N11" s="21"/>
      <c r="Y11" s="9"/>
      <c r="Z11" s="9"/>
      <c r="AA11" s="9"/>
      <c r="AB11" s="14"/>
      <c r="AC11" s="16"/>
      <c r="AD11" s="16"/>
      <c r="AE11" s="16"/>
      <c r="AF11" s="9"/>
      <c r="AG11" s="1"/>
    </row>
    <row r="12" spans="2:33" s="8" customFormat="1" ht="31.9" thickBot="1" x14ac:dyDescent="0.3">
      <c r="B12" s="23" t="s">
        <v>10</v>
      </c>
      <c r="C12" s="186" t="s">
        <v>11</v>
      </c>
      <c r="D12" s="186"/>
      <c r="E12" s="186"/>
      <c r="F12" s="186"/>
      <c r="G12" s="24" t="s">
        <v>12</v>
      </c>
      <c r="H12" s="24" t="s">
        <v>13</v>
      </c>
      <c r="I12" s="23" t="s">
        <v>10</v>
      </c>
      <c r="J12" s="186" t="s">
        <v>14</v>
      </c>
      <c r="K12" s="186"/>
      <c r="L12" s="186"/>
      <c r="M12" s="186"/>
      <c r="N12" s="24" t="s">
        <v>12</v>
      </c>
      <c r="O12" s="24" t="s">
        <v>13</v>
      </c>
      <c r="P12" s="23" t="s">
        <v>10</v>
      </c>
      <c r="Q12" s="186" t="s">
        <v>15</v>
      </c>
      <c r="R12" s="186"/>
      <c r="S12" s="186"/>
      <c r="T12" s="186"/>
      <c r="U12" s="24" t="s">
        <v>12</v>
      </c>
      <c r="V12" s="24" t="s">
        <v>13</v>
      </c>
      <c r="W12" s="104" t="s">
        <v>16</v>
      </c>
      <c r="X12" s="120"/>
      <c r="Y12" s="9"/>
      <c r="Z12" s="9"/>
      <c r="AA12" s="9"/>
      <c r="AB12" s="14"/>
      <c r="AC12" s="16"/>
      <c r="AD12" s="16"/>
      <c r="AE12" s="16"/>
      <c r="AF12" s="9"/>
      <c r="AG12" s="1"/>
    </row>
    <row r="13" spans="2:33" s="27" customFormat="1" x14ac:dyDescent="0.2">
      <c r="B13" s="105" t="s">
        <v>17</v>
      </c>
      <c r="C13" s="188"/>
      <c r="D13" s="188"/>
      <c r="E13" s="188"/>
      <c r="F13" s="188"/>
      <c r="G13" s="25">
        <v>11</v>
      </c>
      <c r="H13" s="106">
        <f>G13</f>
        <v>11</v>
      </c>
      <c r="I13" s="107" t="s">
        <v>17</v>
      </c>
      <c r="J13" s="188"/>
      <c r="K13" s="188"/>
      <c r="L13" s="188"/>
      <c r="M13" s="188"/>
      <c r="N13" s="25">
        <v>13</v>
      </c>
      <c r="O13" s="106">
        <f>N13</f>
        <v>13</v>
      </c>
      <c r="P13" s="107" t="s">
        <v>17</v>
      </c>
      <c r="Q13" s="188"/>
      <c r="R13" s="188"/>
      <c r="S13" s="188"/>
      <c r="T13" s="188"/>
      <c r="U13" s="25">
        <v>15</v>
      </c>
      <c r="V13" s="106">
        <f>U13</f>
        <v>15</v>
      </c>
      <c r="W13" s="108">
        <f>AVERAGE(V13,O13,H13)</f>
        <v>13</v>
      </c>
      <c r="X13" s="33"/>
      <c r="Y13" s="9"/>
      <c r="Z13" s="9"/>
      <c r="AA13" s="9"/>
      <c r="AB13" s="14"/>
      <c r="AC13" s="16"/>
      <c r="AD13" s="16"/>
      <c r="AE13" s="16"/>
      <c r="AF13" s="9"/>
      <c r="AG13" s="1"/>
    </row>
    <row r="14" spans="2:33" s="27" customFormat="1" ht="13.9" x14ac:dyDescent="0.25">
      <c r="B14" s="109">
        <v>2</v>
      </c>
      <c r="C14" s="180"/>
      <c r="D14" s="180"/>
      <c r="E14" s="180"/>
      <c r="F14" s="180"/>
      <c r="G14" s="28">
        <f>C14</f>
        <v>0</v>
      </c>
      <c r="H14" s="110">
        <v>0</v>
      </c>
      <c r="I14" s="111">
        <v>2</v>
      </c>
      <c r="J14" s="180"/>
      <c r="K14" s="180"/>
      <c r="L14" s="180"/>
      <c r="M14" s="180"/>
      <c r="N14" s="28">
        <f>J14</f>
        <v>0</v>
      </c>
      <c r="O14" s="110">
        <v>0</v>
      </c>
      <c r="P14" s="111">
        <v>2</v>
      </c>
      <c r="Q14" s="180"/>
      <c r="R14" s="180"/>
      <c r="S14" s="180"/>
      <c r="T14" s="180"/>
      <c r="U14" s="28">
        <f>Q14</f>
        <v>0</v>
      </c>
      <c r="V14" s="110">
        <v>0</v>
      </c>
      <c r="W14" s="112">
        <f>AVERAGE(V14,O14,H14)</f>
        <v>0</v>
      </c>
      <c r="X14" s="33"/>
      <c r="Y14" s="9"/>
      <c r="Z14" s="9"/>
      <c r="AA14" s="9"/>
      <c r="AB14" s="14"/>
      <c r="AC14" s="16"/>
      <c r="AD14" s="16"/>
      <c r="AE14" s="16"/>
      <c r="AF14" s="9"/>
      <c r="AG14" s="1"/>
    </row>
    <row r="15" spans="2:33" s="27" customFormat="1" ht="13.9" x14ac:dyDescent="0.25">
      <c r="B15" s="113">
        <v>2.8</v>
      </c>
      <c r="C15" s="180"/>
      <c r="D15" s="180"/>
      <c r="E15" s="180"/>
      <c r="F15" s="180"/>
      <c r="G15" s="28">
        <f>C15+G14</f>
        <v>0</v>
      </c>
      <c r="H15" s="110">
        <f>100*G14/SUM(G$14:G$30)+H14</f>
        <v>0</v>
      </c>
      <c r="I15" s="114">
        <v>2.8</v>
      </c>
      <c r="J15" s="180"/>
      <c r="K15" s="180"/>
      <c r="L15" s="180"/>
      <c r="M15" s="180"/>
      <c r="N15" s="28">
        <v>3</v>
      </c>
      <c r="O15" s="110">
        <f>100*N14/SUM(N$14:N$30)+O14</f>
        <v>0</v>
      </c>
      <c r="P15" s="114">
        <v>2.8</v>
      </c>
      <c r="Q15" s="180"/>
      <c r="R15" s="180"/>
      <c r="S15" s="180"/>
      <c r="T15" s="180"/>
      <c r="U15" s="28">
        <f>Q15+U14</f>
        <v>0</v>
      </c>
      <c r="V15" s="110">
        <f>100*U14/SUM(U$14:U$30)+V14</f>
        <v>0</v>
      </c>
      <c r="W15" s="112">
        <f t="shared" ref="W15:W26" si="0">AVERAGE(V15,O15,H15)</f>
        <v>0</v>
      </c>
      <c r="X15" s="33"/>
      <c r="Y15" s="9"/>
      <c r="Z15" s="9"/>
      <c r="AA15" s="9"/>
      <c r="AB15" s="14"/>
      <c r="AC15" s="16"/>
      <c r="AD15" s="16"/>
      <c r="AE15" s="16"/>
      <c r="AF15" s="9"/>
      <c r="AG15" s="1"/>
    </row>
    <row r="16" spans="2:33" s="27" customFormat="1" ht="13.9" x14ac:dyDescent="0.25">
      <c r="B16" s="109">
        <v>4</v>
      </c>
      <c r="C16" s="180"/>
      <c r="D16" s="180"/>
      <c r="E16" s="180"/>
      <c r="F16" s="180"/>
      <c r="G16" s="28">
        <v>1</v>
      </c>
      <c r="H16" s="110">
        <f t="shared" ref="H16:H30" si="1">100*G15/SUM(G$14:G$30)+H15</f>
        <v>0</v>
      </c>
      <c r="I16" s="111">
        <v>4</v>
      </c>
      <c r="J16" s="180"/>
      <c r="K16" s="180"/>
      <c r="L16" s="180"/>
      <c r="M16" s="180"/>
      <c r="N16" s="28">
        <v>6</v>
      </c>
      <c r="O16" s="110">
        <f t="shared" ref="O16:O30" si="2">100*N15/SUM(N$14:N$30)+O15</f>
        <v>3</v>
      </c>
      <c r="P16" s="111">
        <v>4</v>
      </c>
      <c r="Q16" s="180"/>
      <c r="R16" s="180"/>
      <c r="S16" s="180"/>
      <c r="T16" s="180"/>
      <c r="U16" s="28">
        <v>1</v>
      </c>
      <c r="V16" s="110">
        <f t="shared" ref="V16:V30" si="3">100*U15/SUM(U$14:U$30)+V15</f>
        <v>0</v>
      </c>
      <c r="W16" s="112">
        <f t="shared" si="0"/>
        <v>1</v>
      </c>
      <c r="X16" s="33"/>
      <c r="Y16" s="9"/>
      <c r="Z16" s="9"/>
      <c r="AA16" s="9"/>
      <c r="AB16" s="14"/>
      <c r="AC16" s="9"/>
      <c r="AD16" s="9"/>
      <c r="AE16" s="9"/>
      <c r="AF16" s="9"/>
      <c r="AG16" s="1"/>
    </row>
    <row r="17" spans="2:33" s="27" customFormat="1" ht="17.45" x14ac:dyDescent="0.3">
      <c r="B17" s="109">
        <v>5.6</v>
      </c>
      <c r="C17" s="180"/>
      <c r="D17" s="180"/>
      <c r="E17" s="180"/>
      <c r="F17" s="180"/>
      <c r="G17" s="28">
        <v>3</v>
      </c>
      <c r="H17" s="110">
        <f t="shared" si="1"/>
        <v>1</v>
      </c>
      <c r="I17" s="111">
        <v>5.6</v>
      </c>
      <c r="J17" s="180"/>
      <c r="K17" s="180"/>
      <c r="L17" s="180"/>
      <c r="M17" s="180"/>
      <c r="N17" s="28">
        <v>5</v>
      </c>
      <c r="O17" s="110">
        <f t="shared" si="2"/>
        <v>9</v>
      </c>
      <c r="P17" s="111">
        <v>5.6</v>
      </c>
      <c r="Q17" s="180"/>
      <c r="R17" s="180"/>
      <c r="S17" s="180"/>
      <c r="T17" s="180"/>
      <c r="U17" s="28">
        <v>4</v>
      </c>
      <c r="V17" s="110">
        <f t="shared" si="3"/>
        <v>1</v>
      </c>
      <c r="W17" s="112">
        <f t="shared" si="0"/>
        <v>3.6666666666666665</v>
      </c>
      <c r="X17" s="33"/>
      <c r="Y17" s="29" t="s">
        <v>18</v>
      </c>
      <c r="Z17" s="30"/>
      <c r="AA17" s="30"/>
      <c r="AB17" s="31"/>
      <c r="AC17" s="32"/>
      <c r="AD17" s="32"/>
      <c r="AE17" s="32"/>
      <c r="AF17" s="32"/>
      <c r="AG17" s="1"/>
    </row>
    <row r="18" spans="2:33" s="27" customFormat="1" ht="13.9" x14ac:dyDescent="0.25">
      <c r="B18" s="109">
        <v>8</v>
      </c>
      <c r="C18" s="180"/>
      <c r="D18" s="180"/>
      <c r="E18" s="180"/>
      <c r="F18" s="180"/>
      <c r="G18" s="28">
        <v>6</v>
      </c>
      <c r="H18" s="110">
        <f t="shared" si="1"/>
        <v>4</v>
      </c>
      <c r="I18" s="111">
        <v>8</v>
      </c>
      <c r="J18" s="180"/>
      <c r="K18" s="180"/>
      <c r="L18" s="180"/>
      <c r="M18" s="180"/>
      <c r="N18" s="28">
        <v>12</v>
      </c>
      <c r="O18" s="110">
        <f t="shared" si="2"/>
        <v>14</v>
      </c>
      <c r="P18" s="111">
        <v>8</v>
      </c>
      <c r="Q18" s="180"/>
      <c r="R18" s="180"/>
      <c r="S18" s="180"/>
      <c r="T18" s="180"/>
      <c r="U18" s="28">
        <v>3</v>
      </c>
      <c r="V18" s="110">
        <f t="shared" si="3"/>
        <v>5</v>
      </c>
      <c r="W18" s="112">
        <f t="shared" si="0"/>
        <v>7.666666666666667</v>
      </c>
      <c r="X18" s="33"/>
      <c r="Y18" s="32" t="s">
        <v>19</v>
      </c>
      <c r="Z18" s="182" t="s">
        <v>20</v>
      </c>
      <c r="AA18" s="182"/>
      <c r="AB18" s="182"/>
      <c r="AC18" s="182"/>
      <c r="AD18" s="182"/>
      <c r="AE18" s="182"/>
      <c r="AF18" s="182"/>
      <c r="AG18" s="8"/>
    </row>
    <row r="19" spans="2:33" s="27" customFormat="1" ht="13.9" x14ac:dyDescent="0.25">
      <c r="B19" s="109">
        <v>11</v>
      </c>
      <c r="C19" s="180"/>
      <c r="D19" s="180"/>
      <c r="E19" s="180"/>
      <c r="F19" s="180"/>
      <c r="G19" s="28">
        <v>8</v>
      </c>
      <c r="H19" s="110">
        <f t="shared" si="1"/>
        <v>10</v>
      </c>
      <c r="I19" s="111">
        <v>11</v>
      </c>
      <c r="J19" s="180"/>
      <c r="K19" s="180"/>
      <c r="L19" s="180"/>
      <c r="M19" s="180"/>
      <c r="N19" s="28">
        <v>10</v>
      </c>
      <c r="O19" s="110">
        <f t="shared" si="2"/>
        <v>26</v>
      </c>
      <c r="P19" s="111">
        <v>11</v>
      </c>
      <c r="Q19" s="180"/>
      <c r="R19" s="180"/>
      <c r="S19" s="180"/>
      <c r="T19" s="180"/>
      <c r="U19" s="28">
        <v>8</v>
      </c>
      <c r="V19" s="110">
        <f t="shared" si="3"/>
        <v>8</v>
      </c>
      <c r="W19" s="112">
        <f>AVERAGE(V19,O19,H19)</f>
        <v>14.666666666666666</v>
      </c>
      <c r="X19" s="33"/>
      <c r="Y19" s="153">
        <v>577</v>
      </c>
      <c r="Z19" s="181" t="s">
        <v>134</v>
      </c>
      <c r="AA19" s="181"/>
      <c r="AB19" s="181"/>
      <c r="AC19" s="181"/>
      <c r="AD19" s="181"/>
      <c r="AE19" s="181"/>
      <c r="AF19" s="181"/>
    </row>
    <row r="20" spans="2:33" s="27" customFormat="1" ht="13.9" x14ac:dyDescent="0.25">
      <c r="B20" s="109">
        <v>16</v>
      </c>
      <c r="C20" s="180"/>
      <c r="D20" s="180"/>
      <c r="E20" s="180"/>
      <c r="F20" s="180"/>
      <c r="G20" s="28">
        <v>7</v>
      </c>
      <c r="H20" s="110">
        <f t="shared" si="1"/>
        <v>18</v>
      </c>
      <c r="I20" s="111">
        <v>16</v>
      </c>
      <c r="J20" s="180"/>
      <c r="K20" s="180"/>
      <c r="L20" s="180"/>
      <c r="M20" s="180"/>
      <c r="N20" s="28">
        <v>12</v>
      </c>
      <c r="O20" s="110">
        <f t="shared" si="2"/>
        <v>36</v>
      </c>
      <c r="P20" s="111">
        <v>16</v>
      </c>
      <c r="Q20" s="180"/>
      <c r="R20" s="180"/>
      <c r="S20" s="180"/>
      <c r="T20" s="180"/>
      <c r="U20" s="28">
        <v>10</v>
      </c>
      <c r="V20" s="110">
        <f t="shared" si="3"/>
        <v>16</v>
      </c>
      <c r="W20" s="112">
        <f t="shared" si="0"/>
        <v>23.333333333333332</v>
      </c>
      <c r="X20" s="33"/>
      <c r="Y20" s="153">
        <v>578</v>
      </c>
      <c r="Z20" s="181" t="s">
        <v>135</v>
      </c>
      <c r="AA20" s="181"/>
      <c r="AB20" s="181"/>
      <c r="AC20" s="181"/>
      <c r="AD20" s="181"/>
      <c r="AE20" s="181"/>
      <c r="AF20" s="181"/>
    </row>
    <row r="21" spans="2:33" s="27" customFormat="1" ht="13.9" x14ac:dyDescent="0.25">
      <c r="B21" s="109">
        <v>22.5</v>
      </c>
      <c r="C21" s="180"/>
      <c r="D21" s="180"/>
      <c r="E21" s="180"/>
      <c r="F21" s="180"/>
      <c r="G21" s="28">
        <v>18</v>
      </c>
      <c r="H21" s="110">
        <f t="shared" si="1"/>
        <v>25</v>
      </c>
      <c r="I21" s="111">
        <v>22.5</v>
      </c>
      <c r="J21" s="180"/>
      <c r="K21" s="180"/>
      <c r="L21" s="180"/>
      <c r="M21" s="180"/>
      <c r="N21" s="28">
        <v>15</v>
      </c>
      <c r="O21" s="110">
        <f t="shared" si="2"/>
        <v>48</v>
      </c>
      <c r="P21" s="111">
        <v>22.5</v>
      </c>
      <c r="Q21" s="180"/>
      <c r="R21" s="180"/>
      <c r="S21" s="180"/>
      <c r="T21" s="180"/>
      <c r="U21" s="28">
        <v>19</v>
      </c>
      <c r="V21" s="110">
        <f t="shared" si="3"/>
        <v>26</v>
      </c>
      <c r="W21" s="112">
        <f t="shared" si="0"/>
        <v>33</v>
      </c>
      <c r="X21" s="33"/>
      <c r="Y21" s="26">
        <v>579</v>
      </c>
      <c r="Z21" s="181" t="s">
        <v>136</v>
      </c>
      <c r="AA21" s="181"/>
      <c r="AB21" s="181"/>
      <c r="AC21" s="181"/>
      <c r="AD21" s="181"/>
      <c r="AE21" s="181"/>
      <c r="AF21" s="181"/>
    </row>
    <row r="22" spans="2:33" s="27" customFormat="1" ht="13.9" x14ac:dyDescent="0.25">
      <c r="B22" s="109">
        <v>32</v>
      </c>
      <c r="C22" s="180"/>
      <c r="D22" s="180"/>
      <c r="E22" s="180"/>
      <c r="F22" s="180"/>
      <c r="G22" s="28">
        <v>13</v>
      </c>
      <c r="H22" s="110">
        <f t="shared" si="1"/>
        <v>43</v>
      </c>
      <c r="I22" s="111">
        <v>32</v>
      </c>
      <c r="J22" s="180"/>
      <c r="K22" s="180"/>
      <c r="L22" s="180"/>
      <c r="M22" s="180"/>
      <c r="N22" s="28">
        <v>10</v>
      </c>
      <c r="O22" s="110">
        <f t="shared" si="2"/>
        <v>63</v>
      </c>
      <c r="P22" s="111">
        <v>32</v>
      </c>
      <c r="Q22" s="180"/>
      <c r="R22" s="180"/>
      <c r="S22" s="180"/>
      <c r="T22" s="180"/>
      <c r="U22" s="28">
        <v>18</v>
      </c>
      <c r="V22" s="110">
        <f t="shared" si="3"/>
        <v>45</v>
      </c>
      <c r="W22" s="112">
        <f t="shared" si="0"/>
        <v>50.333333333333336</v>
      </c>
      <c r="X22" s="33"/>
      <c r="Y22" s="26">
        <v>580</v>
      </c>
      <c r="Z22" s="181" t="s">
        <v>137</v>
      </c>
      <c r="AA22" s="181"/>
      <c r="AB22" s="181"/>
      <c r="AC22" s="181"/>
      <c r="AD22" s="181"/>
      <c r="AE22" s="181"/>
      <c r="AF22" s="181"/>
    </row>
    <row r="23" spans="2:33" s="27" customFormat="1" ht="13.9" x14ac:dyDescent="0.25">
      <c r="B23" s="109">
        <v>45</v>
      </c>
      <c r="C23" s="180"/>
      <c r="D23" s="180"/>
      <c r="E23" s="180"/>
      <c r="F23" s="180"/>
      <c r="G23" s="28">
        <v>25</v>
      </c>
      <c r="H23" s="110">
        <f t="shared" si="1"/>
        <v>56</v>
      </c>
      <c r="I23" s="111">
        <v>45</v>
      </c>
      <c r="J23" s="180"/>
      <c r="K23" s="180"/>
      <c r="L23" s="180"/>
      <c r="M23" s="180"/>
      <c r="N23" s="28">
        <v>11</v>
      </c>
      <c r="O23" s="110">
        <f t="shared" si="2"/>
        <v>73</v>
      </c>
      <c r="P23" s="111">
        <v>45</v>
      </c>
      <c r="Q23" s="180"/>
      <c r="R23" s="180"/>
      <c r="S23" s="180"/>
      <c r="T23" s="180"/>
      <c r="U23" s="28">
        <v>9</v>
      </c>
      <c r="V23" s="110">
        <f t="shared" si="3"/>
        <v>63</v>
      </c>
      <c r="W23" s="112">
        <f t="shared" si="0"/>
        <v>64</v>
      </c>
      <c r="X23" s="33"/>
      <c r="Y23" s="26">
        <v>581</v>
      </c>
      <c r="Z23" s="181" t="s">
        <v>138</v>
      </c>
      <c r="AA23" s="181"/>
      <c r="AB23" s="181"/>
      <c r="AC23" s="181"/>
      <c r="AD23" s="181"/>
      <c r="AE23" s="181"/>
      <c r="AF23" s="181"/>
    </row>
    <row r="24" spans="2:33" s="27" customFormat="1" ht="13.9" x14ac:dyDescent="0.25">
      <c r="B24" s="115">
        <v>64</v>
      </c>
      <c r="C24" s="180"/>
      <c r="D24" s="180"/>
      <c r="E24" s="180"/>
      <c r="F24" s="180"/>
      <c r="G24" s="28">
        <v>7</v>
      </c>
      <c r="H24" s="110">
        <f t="shared" si="1"/>
        <v>81</v>
      </c>
      <c r="I24" s="116">
        <v>64</v>
      </c>
      <c r="J24" s="180"/>
      <c r="K24" s="180"/>
      <c r="L24" s="180"/>
      <c r="M24" s="180"/>
      <c r="N24" s="28">
        <v>9</v>
      </c>
      <c r="O24" s="110">
        <f t="shared" si="2"/>
        <v>84</v>
      </c>
      <c r="P24" s="116">
        <v>64</v>
      </c>
      <c r="Q24" s="180"/>
      <c r="R24" s="180"/>
      <c r="S24" s="180"/>
      <c r="T24" s="180"/>
      <c r="U24" s="28">
        <v>17</v>
      </c>
      <c r="V24" s="110">
        <f t="shared" si="3"/>
        <v>72</v>
      </c>
      <c r="W24" s="112">
        <f t="shared" si="0"/>
        <v>79</v>
      </c>
      <c r="X24" s="33"/>
      <c r="Y24" s="26"/>
      <c r="Z24" s="181"/>
      <c r="AA24" s="181"/>
      <c r="AB24" s="181"/>
      <c r="AC24" s="181"/>
      <c r="AD24" s="181"/>
      <c r="AE24" s="181"/>
      <c r="AF24" s="181"/>
    </row>
    <row r="25" spans="2:33" s="27" customFormat="1" ht="13.9" x14ac:dyDescent="0.25">
      <c r="B25" s="109">
        <v>90</v>
      </c>
      <c r="C25" s="180"/>
      <c r="D25" s="180"/>
      <c r="E25" s="180"/>
      <c r="F25" s="180"/>
      <c r="G25" s="28">
        <v>7</v>
      </c>
      <c r="H25" s="110">
        <f t="shared" si="1"/>
        <v>88</v>
      </c>
      <c r="I25" s="111">
        <v>90</v>
      </c>
      <c r="J25" s="180"/>
      <c r="K25" s="180"/>
      <c r="L25" s="180"/>
      <c r="M25" s="180"/>
      <c r="N25" s="28">
        <v>6</v>
      </c>
      <c r="O25" s="110">
        <f t="shared" si="2"/>
        <v>93</v>
      </c>
      <c r="P25" s="111">
        <v>90</v>
      </c>
      <c r="Q25" s="180"/>
      <c r="R25" s="180"/>
      <c r="S25" s="180"/>
      <c r="T25" s="180"/>
      <c r="U25" s="28">
        <v>10</v>
      </c>
      <c r="V25" s="110">
        <f t="shared" si="3"/>
        <v>89</v>
      </c>
      <c r="W25" s="112">
        <f t="shared" si="0"/>
        <v>90</v>
      </c>
      <c r="X25" s="33"/>
      <c r="Y25" s="26"/>
      <c r="Z25" s="181"/>
      <c r="AA25" s="181"/>
      <c r="AB25" s="181"/>
      <c r="AC25" s="181"/>
      <c r="AD25" s="181"/>
      <c r="AE25" s="181"/>
      <c r="AF25" s="181"/>
    </row>
    <row r="26" spans="2:33" s="27" customFormat="1" ht="13.9" x14ac:dyDescent="0.25">
      <c r="B26" s="113">
        <v>128</v>
      </c>
      <c r="C26" s="180"/>
      <c r="D26" s="180"/>
      <c r="E26" s="180"/>
      <c r="F26" s="180"/>
      <c r="G26" s="28">
        <v>5</v>
      </c>
      <c r="H26" s="110">
        <f t="shared" si="1"/>
        <v>95</v>
      </c>
      <c r="I26" s="114">
        <v>128</v>
      </c>
      <c r="J26" s="180"/>
      <c r="K26" s="180"/>
      <c r="L26" s="180"/>
      <c r="M26" s="180"/>
      <c r="N26" s="28">
        <v>1</v>
      </c>
      <c r="O26" s="110">
        <f t="shared" si="2"/>
        <v>99</v>
      </c>
      <c r="P26" s="114">
        <v>128</v>
      </c>
      <c r="Q26" s="180"/>
      <c r="R26" s="180"/>
      <c r="S26" s="180"/>
      <c r="T26" s="180"/>
      <c r="U26" s="28">
        <v>1</v>
      </c>
      <c r="V26" s="110">
        <f t="shared" si="3"/>
        <v>99</v>
      </c>
      <c r="W26" s="112">
        <f t="shared" si="0"/>
        <v>97.666666666666671</v>
      </c>
      <c r="X26" s="33"/>
      <c r="Y26" s="26"/>
      <c r="Z26" s="181"/>
      <c r="AA26" s="181"/>
      <c r="AB26" s="181"/>
      <c r="AC26" s="181"/>
      <c r="AD26" s="181"/>
      <c r="AE26" s="181"/>
      <c r="AF26" s="181"/>
    </row>
    <row r="27" spans="2:33" s="27" customFormat="1" ht="13.9" x14ac:dyDescent="0.25">
      <c r="B27" s="113">
        <v>180</v>
      </c>
      <c r="C27" s="180"/>
      <c r="D27" s="180"/>
      <c r="E27" s="180"/>
      <c r="F27" s="180"/>
      <c r="G27" s="28">
        <v>0</v>
      </c>
      <c r="H27" s="110">
        <f t="shared" si="1"/>
        <v>100</v>
      </c>
      <c r="I27" s="114">
        <v>180</v>
      </c>
      <c r="J27" s="180"/>
      <c r="K27" s="180"/>
      <c r="L27" s="180"/>
      <c r="M27" s="180"/>
      <c r="N27" s="28">
        <v>0</v>
      </c>
      <c r="O27" s="110">
        <f t="shared" si="2"/>
        <v>100</v>
      </c>
      <c r="P27" s="114">
        <v>180</v>
      </c>
      <c r="Q27" s="180"/>
      <c r="R27" s="180"/>
      <c r="S27" s="180"/>
      <c r="T27" s="180"/>
      <c r="U27" s="28">
        <v>0</v>
      </c>
      <c r="V27" s="110">
        <f t="shared" si="3"/>
        <v>100</v>
      </c>
      <c r="W27" s="112">
        <f>AVERAGE(H27,V27,O27)</f>
        <v>100</v>
      </c>
      <c r="X27" s="33"/>
      <c r="Y27" s="26"/>
      <c r="Z27" s="181"/>
      <c r="AA27" s="181"/>
      <c r="AB27" s="181"/>
      <c r="AC27" s="181"/>
      <c r="AD27" s="181"/>
      <c r="AE27" s="181"/>
      <c r="AF27" s="181"/>
    </row>
    <row r="28" spans="2:33" s="27" customFormat="1" ht="13.9" x14ac:dyDescent="0.25">
      <c r="B28" s="113">
        <v>256</v>
      </c>
      <c r="C28" s="180"/>
      <c r="D28" s="180"/>
      <c r="E28" s="180"/>
      <c r="F28" s="180"/>
      <c r="G28" s="28">
        <f t="shared" ref="G28:G30" si="4">C28+G27</f>
        <v>0</v>
      </c>
      <c r="H28" s="110">
        <f t="shared" si="1"/>
        <v>100</v>
      </c>
      <c r="I28" s="114">
        <v>256</v>
      </c>
      <c r="J28" s="180"/>
      <c r="K28" s="180"/>
      <c r="L28" s="180"/>
      <c r="M28" s="180"/>
      <c r="N28" s="28">
        <f t="shared" ref="N28:N30" si="5">J28+N27</f>
        <v>0</v>
      </c>
      <c r="O28" s="110">
        <f t="shared" si="2"/>
        <v>100</v>
      </c>
      <c r="P28" s="114">
        <v>256</v>
      </c>
      <c r="Q28" s="180"/>
      <c r="R28" s="180"/>
      <c r="S28" s="180"/>
      <c r="T28" s="180"/>
      <c r="U28" s="28">
        <f t="shared" ref="U28:U30" si="6">Q28+U27</f>
        <v>0</v>
      </c>
      <c r="V28" s="110">
        <f t="shared" si="3"/>
        <v>100</v>
      </c>
      <c r="W28" s="112">
        <f>AVERAGE(H28,V28,O28)</f>
        <v>100</v>
      </c>
      <c r="X28" s="33"/>
      <c r="Y28" s="26"/>
      <c r="Z28" s="181"/>
      <c r="AA28" s="181"/>
      <c r="AB28" s="181"/>
      <c r="AC28" s="181"/>
      <c r="AD28" s="181"/>
      <c r="AE28" s="181"/>
      <c r="AF28" s="181"/>
    </row>
    <row r="29" spans="2:33" s="27" customFormat="1" ht="17.45" x14ac:dyDescent="0.3">
      <c r="B29" s="113">
        <v>360</v>
      </c>
      <c r="C29" s="180"/>
      <c r="D29" s="180"/>
      <c r="E29" s="180"/>
      <c r="F29" s="180"/>
      <c r="G29" s="28">
        <f t="shared" si="4"/>
        <v>0</v>
      </c>
      <c r="H29" s="110">
        <f t="shared" si="1"/>
        <v>100</v>
      </c>
      <c r="I29" s="114">
        <v>360</v>
      </c>
      <c r="J29" s="180"/>
      <c r="K29" s="180"/>
      <c r="L29" s="180"/>
      <c r="M29" s="180"/>
      <c r="N29" s="28">
        <f t="shared" si="5"/>
        <v>0</v>
      </c>
      <c r="O29" s="110">
        <f t="shared" si="2"/>
        <v>100</v>
      </c>
      <c r="P29" s="114">
        <v>360</v>
      </c>
      <c r="Q29" s="180"/>
      <c r="R29" s="180"/>
      <c r="S29" s="180"/>
      <c r="T29" s="180"/>
      <c r="U29" s="28">
        <f t="shared" si="6"/>
        <v>0</v>
      </c>
      <c r="V29" s="110">
        <f t="shared" si="3"/>
        <v>100</v>
      </c>
      <c r="W29" s="112">
        <f>AVERAGE(V29,O29,H29)</f>
        <v>100</v>
      </c>
      <c r="X29" s="33"/>
      <c r="Y29" s="26"/>
      <c r="Z29" s="181"/>
      <c r="AA29" s="181"/>
      <c r="AB29" s="181"/>
      <c r="AC29" s="181"/>
      <c r="AD29" s="181"/>
      <c r="AE29" s="181"/>
      <c r="AF29" s="181"/>
      <c r="AG29" s="34"/>
    </row>
    <row r="30" spans="2:33" s="27" customFormat="1" ht="18" thickBot="1" x14ac:dyDescent="0.35">
      <c r="B30" s="117">
        <v>512</v>
      </c>
      <c r="C30" s="169"/>
      <c r="D30" s="170"/>
      <c r="E30" s="170"/>
      <c r="F30" s="171"/>
      <c r="G30" s="28">
        <f t="shared" si="4"/>
        <v>0</v>
      </c>
      <c r="H30" s="110">
        <f t="shared" si="1"/>
        <v>100</v>
      </c>
      <c r="I30" s="118">
        <v>512</v>
      </c>
      <c r="J30" s="169"/>
      <c r="K30" s="170"/>
      <c r="L30" s="170"/>
      <c r="M30" s="171"/>
      <c r="N30" s="28">
        <f t="shared" si="5"/>
        <v>0</v>
      </c>
      <c r="O30" s="110">
        <f t="shared" si="2"/>
        <v>100</v>
      </c>
      <c r="P30" s="118">
        <v>512</v>
      </c>
      <c r="Q30" s="180"/>
      <c r="R30" s="180"/>
      <c r="S30" s="180"/>
      <c r="T30" s="180"/>
      <c r="U30" s="28">
        <f t="shared" si="6"/>
        <v>0</v>
      </c>
      <c r="V30" s="110">
        <f t="shared" si="3"/>
        <v>100</v>
      </c>
      <c r="W30" s="119">
        <f>AVERAGE(V30,O30,H30)</f>
        <v>100</v>
      </c>
      <c r="X30" s="33"/>
      <c r="Y30" s="26"/>
      <c r="Z30" s="173"/>
      <c r="AA30" s="174"/>
      <c r="AB30" s="174"/>
      <c r="AC30" s="174"/>
      <c r="AD30" s="174"/>
      <c r="AE30" s="174"/>
      <c r="AF30" s="175"/>
      <c r="AG30" s="34"/>
    </row>
    <row r="31" spans="2:33" s="27" customFormat="1" ht="13.9" x14ac:dyDescent="0.25">
      <c r="H31" s="35"/>
      <c r="Y31" s="26"/>
      <c r="Z31" s="173"/>
      <c r="AA31" s="174"/>
      <c r="AB31" s="174"/>
      <c r="AC31" s="174"/>
      <c r="AD31" s="174"/>
      <c r="AE31" s="174"/>
      <c r="AF31" s="175"/>
    </row>
    <row r="32" spans="2:33" s="27" customFormat="1" ht="14.45" thickBot="1" x14ac:dyDescent="0.3">
      <c r="C32" s="172" t="s">
        <v>21</v>
      </c>
      <c r="D32" s="172"/>
      <c r="E32" s="172"/>
      <c r="F32" s="172"/>
      <c r="G32" s="172"/>
      <c r="H32" s="172"/>
      <c r="I32" s="36"/>
      <c r="J32" s="172" t="s">
        <v>22</v>
      </c>
      <c r="K32" s="172"/>
      <c r="L32" s="172"/>
      <c r="M32" s="172"/>
      <c r="N32" s="172"/>
      <c r="O32" s="172"/>
      <c r="P32" s="36"/>
      <c r="Q32" s="172" t="s">
        <v>23</v>
      </c>
      <c r="R32" s="172"/>
      <c r="S32" s="172"/>
      <c r="T32" s="172"/>
      <c r="U32" s="172"/>
      <c r="V32" s="172"/>
      <c r="Y32" s="26"/>
      <c r="Z32" s="173"/>
      <c r="AA32" s="174"/>
      <c r="AB32" s="174"/>
      <c r="AC32" s="174"/>
      <c r="AD32" s="174"/>
      <c r="AE32" s="174"/>
      <c r="AF32" s="175"/>
    </row>
    <row r="33" spans="2:34" s="27" customFormat="1" ht="13.9" x14ac:dyDescent="0.25">
      <c r="C33" s="37"/>
      <c r="D33" s="38"/>
      <c r="E33" s="38"/>
      <c r="F33" s="38"/>
      <c r="G33" s="178"/>
      <c r="H33" s="179"/>
      <c r="I33" s="30"/>
      <c r="J33" s="37"/>
      <c r="K33" s="38"/>
      <c r="L33" s="38"/>
      <c r="M33" s="38"/>
      <c r="N33" s="178"/>
      <c r="O33" s="179"/>
      <c r="Q33" s="37"/>
      <c r="R33" s="38"/>
      <c r="S33" s="38"/>
      <c r="T33" s="38"/>
      <c r="U33" s="178"/>
      <c r="V33" s="179"/>
      <c r="Y33" s="26"/>
      <c r="Z33" s="173"/>
      <c r="AA33" s="174"/>
      <c r="AB33" s="174"/>
      <c r="AC33" s="174"/>
      <c r="AD33" s="174"/>
      <c r="AE33" s="174"/>
      <c r="AF33" s="175"/>
    </row>
    <row r="34" spans="2:34" s="27" customFormat="1" ht="13.9" x14ac:dyDescent="0.25">
      <c r="C34" s="39"/>
      <c r="D34" s="40"/>
      <c r="E34" s="40"/>
      <c r="F34" s="40"/>
      <c r="G34" s="176"/>
      <c r="H34" s="177"/>
      <c r="I34" s="30"/>
      <c r="J34" s="39"/>
      <c r="K34" s="40"/>
      <c r="L34" s="40"/>
      <c r="M34" s="40"/>
      <c r="N34" s="176"/>
      <c r="O34" s="177"/>
      <c r="Q34" s="39"/>
      <c r="R34" s="40"/>
      <c r="S34" s="40"/>
      <c r="T34" s="40"/>
      <c r="U34" s="176"/>
      <c r="V34" s="177"/>
      <c r="Y34" s="55"/>
      <c r="Z34" s="173"/>
      <c r="AA34" s="174"/>
      <c r="AB34" s="174"/>
      <c r="AC34" s="174"/>
      <c r="AD34" s="174"/>
      <c r="AE34" s="174"/>
      <c r="AF34" s="175"/>
    </row>
    <row r="35" spans="2:34" s="27" customFormat="1" ht="13.9" x14ac:dyDescent="0.25">
      <c r="C35" s="39"/>
      <c r="D35" s="40"/>
      <c r="E35" s="40"/>
      <c r="F35" s="40"/>
      <c r="G35" s="176"/>
      <c r="H35" s="177"/>
      <c r="I35" s="30"/>
      <c r="J35" s="39"/>
      <c r="K35" s="40"/>
      <c r="L35" s="40"/>
      <c r="M35" s="40"/>
      <c r="N35" s="176"/>
      <c r="O35" s="177"/>
      <c r="Q35" s="39"/>
      <c r="R35" s="40"/>
      <c r="S35" s="40"/>
      <c r="T35" s="40"/>
      <c r="U35" s="176"/>
      <c r="V35" s="177"/>
      <c r="Y35" s="26"/>
      <c r="Z35" s="173"/>
      <c r="AA35" s="174"/>
      <c r="AB35" s="174"/>
      <c r="AC35" s="174"/>
      <c r="AD35" s="174"/>
      <c r="AE35" s="174"/>
      <c r="AF35" s="175"/>
    </row>
    <row r="36" spans="2:34" s="27" customFormat="1" ht="14.45" thickBot="1" x14ac:dyDescent="0.3">
      <c r="C36" s="43"/>
      <c r="D36" s="44"/>
      <c r="E36" s="44"/>
      <c r="F36" s="44"/>
      <c r="G36" s="166"/>
      <c r="H36" s="167"/>
      <c r="I36" s="30"/>
      <c r="J36" s="43"/>
      <c r="K36" s="44"/>
      <c r="L36" s="44"/>
      <c r="M36" s="44"/>
      <c r="N36" s="45"/>
      <c r="O36" s="46"/>
      <c r="Q36" s="43"/>
      <c r="R36" s="44"/>
      <c r="S36" s="44"/>
      <c r="T36" s="44"/>
      <c r="U36" s="166"/>
      <c r="V36" s="167"/>
      <c r="Z36" s="42"/>
      <c r="AA36" s="168"/>
      <c r="AB36" s="168"/>
      <c r="AC36" s="168"/>
      <c r="AD36" s="36"/>
      <c r="AF36" s="17"/>
    </row>
    <row r="37" spans="2:34" s="27" customFormat="1" ht="13.9" x14ac:dyDescent="0.25">
      <c r="B37" s="1" t="s">
        <v>70</v>
      </c>
      <c r="C37" s="130" t="s">
        <v>121</v>
      </c>
      <c r="G37" s="1"/>
      <c r="H37" s="35"/>
      <c r="K37" s="183" t="s">
        <v>107</v>
      </c>
      <c r="L37" s="183"/>
      <c r="M37" s="131">
        <v>584</v>
      </c>
      <c r="N37" s="1"/>
      <c r="R37" s="41"/>
      <c r="S37" s="133" t="s">
        <v>72</v>
      </c>
      <c r="T37" s="132">
        <v>1</v>
      </c>
      <c r="U37" s="27" t="s">
        <v>108</v>
      </c>
      <c r="V37" s="132">
        <v>2</v>
      </c>
      <c r="Y37" s="1" t="s">
        <v>70</v>
      </c>
      <c r="Z37" s="6" t="s">
        <v>121</v>
      </c>
      <c r="AA37" s="1"/>
      <c r="AB37" s="133" t="s">
        <v>107</v>
      </c>
      <c r="AC37" s="6">
        <v>585</v>
      </c>
      <c r="AE37" s="1" t="s">
        <v>72</v>
      </c>
      <c r="AF37" s="122">
        <v>2</v>
      </c>
      <c r="AG37" s="129" t="s">
        <v>108</v>
      </c>
      <c r="AH37" s="134">
        <v>2</v>
      </c>
    </row>
    <row r="38" spans="2:34" s="27" customFormat="1" ht="13.9" x14ac:dyDescent="0.25">
      <c r="G38" s="30"/>
      <c r="H38" s="47"/>
      <c r="I38" s="30"/>
      <c r="J38" s="30"/>
      <c r="K38" s="30"/>
      <c r="L38" s="30"/>
      <c r="M38" s="30"/>
      <c r="N38" s="31"/>
      <c r="O38" s="32"/>
      <c r="P38" s="32"/>
      <c r="Q38" s="32"/>
      <c r="R38" s="32"/>
      <c r="S38" s="32"/>
      <c r="T38" s="32"/>
      <c r="AA38" s="36"/>
      <c r="AB38" s="48"/>
      <c r="AC38" s="36"/>
      <c r="AE38" s="32"/>
      <c r="AF38" s="32"/>
    </row>
    <row r="39" spans="2:34" s="27" customFormat="1" ht="13.9" x14ac:dyDescent="0.25">
      <c r="H39" s="35"/>
      <c r="Z39" s="32"/>
      <c r="AA39" s="30"/>
      <c r="AB39" s="30"/>
      <c r="AC39" s="31"/>
      <c r="AD39" s="32"/>
      <c r="AE39" s="32"/>
      <c r="AF39" s="32"/>
    </row>
    <row r="40" spans="2:34" s="27" customFormat="1" ht="13.9" x14ac:dyDescent="0.25">
      <c r="E40" s="96"/>
      <c r="F40" s="96"/>
      <c r="G40" s="96"/>
      <c r="H40" s="97"/>
      <c r="I40" s="96"/>
      <c r="J40" s="96"/>
      <c r="K40" s="96"/>
      <c r="L40" s="96"/>
      <c r="M40" s="96"/>
      <c r="N40" s="96"/>
      <c r="O40" s="96"/>
      <c r="P40" s="96"/>
      <c r="Q40" s="96"/>
      <c r="R40" s="96"/>
      <c r="S40" s="96"/>
      <c r="T40" s="96"/>
      <c r="U40" s="96"/>
      <c r="V40" s="96"/>
      <c r="W40" s="96" t="s">
        <v>78</v>
      </c>
      <c r="X40" s="96"/>
      <c r="Z40" s="30"/>
      <c r="AA40" s="30"/>
      <c r="AB40" s="30"/>
      <c r="AC40" s="31"/>
      <c r="AD40" s="32"/>
      <c r="AF40" s="32"/>
    </row>
    <row r="41" spans="2:34" s="27" customFormat="1" ht="14.45" x14ac:dyDescent="0.3">
      <c r="E41" s="93" t="s">
        <v>73</v>
      </c>
      <c r="F41" s="93" t="s">
        <v>10</v>
      </c>
      <c r="G41" s="96"/>
      <c r="H41" s="96"/>
      <c r="I41" s="96"/>
      <c r="J41" s="96"/>
      <c r="K41" s="96"/>
      <c r="L41" s="93" t="s">
        <v>73</v>
      </c>
      <c r="M41" s="93" t="s">
        <v>10</v>
      </c>
      <c r="N41" s="96"/>
      <c r="O41" s="96"/>
      <c r="P41" s="96"/>
      <c r="Q41" s="96"/>
      <c r="R41" s="96"/>
      <c r="S41" s="93" t="s">
        <v>73</v>
      </c>
      <c r="T41" s="93" t="s">
        <v>10</v>
      </c>
      <c r="U41" s="96"/>
      <c r="V41" s="96"/>
      <c r="W41" s="93" t="s">
        <v>10</v>
      </c>
      <c r="X41" s="100"/>
      <c r="Z41" s="30"/>
      <c r="AA41" s="30"/>
      <c r="AB41" s="30"/>
      <c r="AC41" s="31"/>
      <c r="AD41" s="32"/>
      <c r="AF41" s="32"/>
    </row>
    <row r="42" spans="2:34" s="27" customFormat="1" ht="14.45" x14ac:dyDescent="0.3">
      <c r="E42" s="93">
        <v>16</v>
      </c>
      <c r="F42" s="94">
        <f ca="1">10^(FORECAST(E42,LOG(OFFSET(B$14:B$29,MATCH(E42,H$14:H$29,1)-1,0,2)),OFFSET(H$14:H$29,MATCH(E42,H$14:H$29,1)-1,0,2)))</f>
        <v>14.56928229470298</v>
      </c>
      <c r="G42" s="96"/>
      <c r="H42" s="96"/>
      <c r="I42" s="96"/>
      <c r="J42" s="96"/>
      <c r="K42" s="96"/>
      <c r="L42" s="93">
        <v>16</v>
      </c>
      <c r="M42" s="94">
        <f ca="1">10^(FORECAST(L42,LOG(OFFSET(I$14:I$29,MATCH(L42,O$14:O$29,1)-1,0,2)),OFFSET(O$14:O$29,MATCH(L42,O$14:O$29,1)-1,0,2)))</f>
        <v>8.4360750884649054</v>
      </c>
      <c r="N42" s="96"/>
      <c r="O42" s="96"/>
      <c r="P42" s="96"/>
      <c r="Q42" s="96"/>
      <c r="R42" s="96"/>
      <c r="S42" s="93">
        <v>16</v>
      </c>
      <c r="T42" s="94">
        <f ca="1">10^(FORECAST(S42,LOG(OFFSET(P$14:P$29,MATCH(S42,V$14:V$29,1)-1,0,2)),OFFSET(V$14:V$29,MATCH(S42,V$14:V$29,1)-1,0,2)))</f>
        <v>16.000000000000007</v>
      </c>
      <c r="U42" s="96"/>
      <c r="V42" s="98"/>
      <c r="W42" s="94">
        <f ca="1">10^(FORECAST(S42,LOG(OFFSET(P$14:P$29,MATCH(S42,W$14:W$29,1)-1,0,2)),OFFSET(W$14:W$29,MATCH(S42,W$14:W$29,1)-1,0,2)))</f>
        <v>11.652729202285879</v>
      </c>
      <c r="X42" s="94"/>
    </row>
    <row r="43" spans="2:34" s="27" customFormat="1" ht="14.45" x14ac:dyDescent="0.3">
      <c r="E43" s="93">
        <v>50</v>
      </c>
      <c r="F43" s="94">
        <f t="shared" ref="F43:F45" ca="1" si="7">10^(FORECAST(E43,LOG(OFFSET(B$14:B$29,MATCH(E43,H$14:H$29,1)-1,0,2)),OFFSET(H$14:H$29,MATCH(E43,H$14:H$29,1)-1,0,2)))</f>
        <v>38.448195252059989</v>
      </c>
      <c r="G43" s="96"/>
      <c r="H43" s="96"/>
      <c r="I43" s="96"/>
      <c r="J43" s="96"/>
      <c r="K43" s="96"/>
      <c r="L43" s="93">
        <v>50</v>
      </c>
      <c r="M43" s="94">
        <f t="shared" ref="M43:M45" ca="1" si="8">10^(FORECAST(L43,LOG(OFFSET(I$14:I$29,MATCH(L43,O$14:O$29,1)-1,0,2)),OFFSET(O$14:O$29,MATCH(L43,O$14:O$29,1)-1,0,2)))</f>
        <v>23.581866664631569</v>
      </c>
      <c r="N43" s="96"/>
      <c r="O43" s="96"/>
      <c r="P43" s="96"/>
      <c r="Q43" s="96"/>
      <c r="R43" s="96"/>
      <c r="S43" s="93">
        <v>50</v>
      </c>
      <c r="T43" s="94">
        <f t="shared" ref="T43:T45" ca="1" si="9">10^(FORECAST(S43,LOG(OFFSET(P$14:P$29,MATCH(S43,V$14:V$29,1)-1,0,2)),OFFSET(V$14:V$29,MATCH(S43,V$14:V$29,1)-1,0,2)))</f>
        <v>35.178592589082889</v>
      </c>
      <c r="U43" s="96"/>
      <c r="V43" s="98"/>
      <c r="W43" s="94">
        <f t="shared" ref="W43:W45" ca="1" si="10">10^(FORECAST(S43,LOG(OFFSET(P$14:P$29,MATCH(S43,W$14:W$29,1)-1,0,2)),OFFSET(W$14:W$29,MATCH(S43,W$14:W$29,1)-1,0,2)))</f>
        <v>31.783981289838628</v>
      </c>
      <c r="X43" s="94"/>
    </row>
    <row r="44" spans="2:34" s="27" customFormat="1" ht="14.45" x14ac:dyDescent="0.3">
      <c r="E44" s="93">
        <v>84</v>
      </c>
      <c r="F44" s="94">
        <f t="shared" ca="1" si="7"/>
        <v>74.068806427152126</v>
      </c>
      <c r="G44" s="96"/>
      <c r="H44" s="96"/>
      <c r="I44" s="96"/>
      <c r="J44" s="96"/>
      <c r="K44" s="96"/>
      <c r="L44" s="93">
        <v>84</v>
      </c>
      <c r="M44" s="94">
        <f t="shared" ca="1" si="8"/>
        <v>64.000000000000028</v>
      </c>
      <c r="N44" s="96"/>
      <c r="O44" s="96"/>
      <c r="P44" s="96"/>
      <c r="Q44" s="96"/>
      <c r="R44" s="96"/>
      <c r="S44" s="93">
        <v>84</v>
      </c>
      <c r="T44" s="94">
        <f t="shared" ca="1" si="9"/>
        <v>81.413177426311549</v>
      </c>
      <c r="U44" s="96"/>
      <c r="V44" s="98"/>
      <c r="W44" s="94">
        <f t="shared" ca="1" si="10"/>
        <v>74.727615841549522</v>
      </c>
      <c r="X44" s="94"/>
    </row>
    <row r="45" spans="2:34" s="27" customFormat="1" ht="14.45" x14ac:dyDescent="0.3">
      <c r="E45" s="93">
        <v>90</v>
      </c>
      <c r="F45" s="94">
        <f t="shared" ca="1" si="7"/>
        <v>99.528508990411581</v>
      </c>
      <c r="G45" s="96"/>
      <c r="H45" s="96"/>
      <c r="I45" s="96"/>
      <c r="J45" s="96"/>
      <c r="K45" s="96"/>
      <c r="L45" s="93">
        <v>90</v>
      </c>
      <c r="M45" s="94">
        <f t="shared" ca="1" si="8"/>
        <v>80.331954009860326</v>
      </c>
      <c r="N45" s="96"/>
      <c r="O45" s="96"/>
      <c r="P45" s="96"/>
      <c r="Q45" s="96"/>
      <c r="R45" s="96"/>
      <c r="S45" s="93">
        <v>90</v>
      </c>
      <c r="T45" s="94">
        <f t="shared" ca="1" si="9"/>
        <v>93.22647330451862</v>
      </c>
      <c r="U45" s="96"/>
      <c r="V45" s="98"/>
      <c r="W45" s="94">
        <f t="shared" ca="1" si="10"/>
        <v>90</v>
      </c>
      <c r="X45" s="94"/>
    </row>
    <row r="46" spans="2:34" s="27" customFormat="1" ht="15" x14ac:dyDescent="0.25">
      <c r="E46" s="95"/>
      <c r="F46" s="95"/>
      <c r="G46" s="96"/>
      <c r="H46" s="96"/>
      <c r="I46" s="96"/>
      <c r="J46" s="96"/>
      <c r="K46" s="96"/>
      <c r="L46" s="95"/>
      <c r="M46" s="95"/>
      <c r="N46" s="96"/>
      <c r="O46" s="96"/>
      <c r="P46" s="96"/>
      <c r="Q46" s="96"/>
      <c r="R46" s="96"/>
      <c r="S46" s="95"/>
      <c r="T46" s="95"/>
      <c r="U46" s="96"/>
      <c r="V46" s="96"/>
      <c r="W46" s="95"/>
      <c r="X46" s="95"/>
    </row>
    <row r="47" spans="2:34" s="27" customFormat="1" ht="15" x14ac:dyDescent="0.25">
      <c r="E47" s="93" t="s">
        <v>74</v>
      </c>
      <c r="F47" s="94">
        <f ca="1">0.5*(F44/F43+F43/F42)</f>
        <v>2.2827238206915714</v>
      </c>
      <c r="G47" s="96"/>
      <c r="H47" s="96"/>
      <c r="I47" s="96"/>
      <c r="J47" s="96"/>
      <c r="K47" s="96"/>
      <c r="L47" s="93" t="s">
        <v>74</v>
      </c>
      <c r="M47" s="94">
        <f ca="1">0.5*(M44/M43+M43/M42)</f>
        <v>2.7546548393125354</v>
      </c>
      <c r="N47" s="96"/>
      <c r="O47" s="96"/>
      <c r="P47" s="96"/>
      <c r="Q47" s="96"/>
      <c r="R47" s="96"/>
      <c r="S47" s="93" t="s">
        <v>74</v>
      </c>
      <c r="T47" s="94">
        <f ca="1">0.5*(T44/T43+T43/T42)</f>
        <v>2.2564719304585279</v>
      </c>
      <c r="U47" s="96"/>
      <c r="V47" s="96"/>
      <c r="W47" s="94">
        <f ca="1">0.5*(W44/W43+W43/W42)</f>
        <v>2.5393545552695547</v>
      </c>
      <c r="X47" s="94"/>
    </row>
    <row r="48" spans="2:34" s="27" customFormat="1" ht="15" x14ac:dyDescent="0.25">
      <c r="E48" s="95"/>
      <c r="F48" s="94"/>
      <c r="G48" s="96"/>
      <c r="H48" s="96"/>
      <c r="I48" s="96"/>
      <c r="J48" s="96"/>
      <c r="K48" s="96"/>
      <c r="L48" s="95"/>
      <c r="M48" s="94"/>
      <c r="N48" s="96"/>
      <c r="O48" s="96"/>
      <c r="P48" s="96"/>
      <c r="Q48" s="96"/>
      <c r="R48" s="96"/>
      <c r="S48" s="95"/>
      <c r="T48" s="94"/>
      <c r="U48" s="96"/>
      <c r="V48" s="96"/>
      <c r="W48" s="94"/>
      <c r="X48" s="94"/>
    </row>
    <row r="49" spans="5:24" s="27" customFormat="1" ht="15" x14ac:dyDescent="0.25">
      <c r="E49" s="95" t="s">
        <v>76</v>
      </c>
      <c r="F49" s="94">
        <f>H13</f>
        <v>11</v>
      </c>
      <c r="G49" s="96"/>
      <c r="H49" s="96"/>
      <c r="I49" s="96"/>
      <c r="J49" s="96"/>
      <c r="K49" s="96"/>
      <c r="L49" s="95" t="s">
        <v>76</v>
      </c>
      <c r="M49" s="94">
        <f>O13</f>
        <v>13</v>
      </c>
      <c r="N49" s="96"/>
      <c r="O49" s="96"/>
      <c r="P49" s="96"/>
      <c r="Q49" s="96"/>
      <c r="R49" s="96"/>
      <c r="S49" s="95" t="s">
        <v>76</v>
      </c>
      <c r="T49" s="94">
        <f>V13</f>
        <v>15</v>
      </c>
      <c r="U49" s="96"/>
      <c r="V49" s="96"/>
      <c r="W49" s="94">
        <f>AVERAGE(T49,M49,F49)</f>
        <v>13</v>
      </c>
      <c r="X49" s="94"/>
    </row>
    <row r="50" spans="5:24" s="27" customFormat="1" x14ac:dyDescent="0.2">
      <c r="H50" s="35"/>
    </row>
    <row r="51" spans="5:24" s="27" customFormat="1" x14ac:dyDescent="0.2">
      <c r="H51" s="35"/>
    </row>
    <row r="52" spans="5:24" s="27" customFormat="1" x14ac:dyDescent="0.2">
      <c r="H52" s="35"/>
    </row>
    <row r="53" spans="5:24" s="27" customFormat="1" x14ac:dyDescent="0.2">
      <c r="H53" s="35"/>
    </row>
    <row r="54" spans="5:24" s="27" customFormat="1" x14ac:dyDescent="0.2">
      <c r="H54" s="35"/>
    </row>
    <row r="55" spans="5:24" s="27" customFormat="1" x14ac:dyDescent="0.2">
      <c r="H55" s="35"/>
    </row>
    <row r="56" spans="5:24" s="27" customFormat="1" x14ac:dyDescent="0.2">
      <c r="H56" s="35"/>
    </row>
    <row r="57" spans="5:24" s="27" customFormat="1" x14ac:dyDescent="0.2">
      <c r="H57" s="35"/>
    </row>
    <row r="58" spans="5:24" s="27" customFormat="1" x14ac:dyDescent="0.2">
      <c r="H58" s="35"/>
    </row>
    <row r="59" spans="5:24" s="27" customFormat="1" x14ac:dyDescent="0.2">
      <c r="H59" s="35"/>
    </row>
    <row r="60" spans="5:24" s="27" customFormat="1" x14ac:dyDescent="0.2">
      <c r="H60" s="35"/>
    </row>
    <row r="61" spans="5:24" s="27" customFormat="1" x14ac:dyDescent="0.2">
      <c r="H61" s="35"/>
    </row>
    <row r="62" spans="5:24" s="27" customFormat="1" x14ac:dyDescent="0.2">
      <c r="H62" s="35"/>
    </row>
    <row r="63" spans="5:24" s="27" customFormat="1" x14ac:dyDescent="0.2">
      <c r="H63" s="35"/>
    </row>
    <row r="64" spans="5:24" s="27" customFormat="1" x14ac:dyDescent="0.2">
      <c r="H64" s="35"/>
    </row>
    <row r="65" spans="8:8" s="27" customFormat="1" x14ac:dyDescent="0.2">
      <c r="H65" s="35"/>
    </row>
    <row r="66" spans="8:8" s="27" customFormat="1" x14ac:dyDescent="0.2">
      <c r="H66" s="35"/>
    </row>
    <row r="67" spans="8:8" s="27" customFormat="1" x14ac:dyDescent="0.2">
      <c r="H67" s="35"/>
    </row>
    <row r="68" spans="8:8" s="27" customFormat="1" x14ac:dyDescent="0.2">
      <c r="H68" s="35"/>
    </row>
    <row r="69" spans="8:8" s="27" customFormat="1" x14ac:dyDescent="0.2">
      <c r="H69" s="35"/>
    </row>
    <row r="70" spans="8:8" s="27" customFormat="1" x14ac:dyDescent="0.2">
      <c r="H70" s="35"/>
    </row>
    <row r="71" spans="8:8" s="27" customFormat="1" x14ac:dyDescent="0.2">
      <c r="H71" s="35"/>
    </row>
    <row r="72" spans="8:8" s="27" customFormat="1" x14ac:dyDescent="0.2">
      <c r="H72" s="35"/>
    </row>
    <row r="73" spans="8:8" s="27" customFormat="1" x14ac:dyDescent="0.2">
      <c r="H73" s="35"/>
    </row>
    <row r="74" spans="8:8" s="27" customFormat="1" x14ac:dyDescent="0.2">
      <c r="H74" s="35"/>
    </row>
    <row r="75" spans="8:8" s="27" customFormat="1" x14ac:dyDescent="0.2">
      <c r="H75" s="35"/>
    </row>
    <row r="76" spans="8:8" s="27" customFormat="1" x14ac:dyDescent="0.2">
      <c r="H76" s="35"/>
    </row>
    <row r="77" spans="8:8" s="27" customFormat="1" x14ac:dyDescent="0.2">
      <c r="H77" s="35"/>
    </row>
    <row r="78" spans="8:8" s="27" customFormat="1" x14ac:dyDescent="0.2">
      <c r="H78" s="35"/>
    </row>
    <row r="79" spans="8:8" s="27" customFormat="1" x14ac:dyDescent="0.2">
      <c r="H79" s="35"/>
    </row>
    <row r="80" spans="8:8" s="27" customFormat="1" x14ac:dyDescent="0.2">
      <c r="H80" s="35"/>
    </row>
    <row r="81" spans="8:8" s="27" customFormat="1" x14ac:dyDescent="0.2">
      <c r="H81" s="35"/>
    </row>
    <row r="82" spans="8:8" s="27" customFormat="1" x14ac:dyDescent="0.2">
      <c r="H82" s="35"/>
    </row>
    <row r="83" spans="8:8" s="27" customFormat="1" x14ac:dyDescent="0.2">
      <c r="H83" s="35"/>
    </row>
    <row r="84" spans="8:8" s="27" customFormat="1" x14ac:dyDescent="0.2">
      <c r="H84" s="35"/>
    </row>
    <row r="85" spans="8:8" s="27" customFormat="1" x14ac:dyDescent="0.2">
      <c r="H85" s="35"/>
    </row>
    <row r="86" spans="8:8" s="27" customFormat="1" x14ac:dyDescent="0.2">
      <c r="H86" s="35"/>
    </row>
    <row r="87" spans="8:8" s="27" customFormat="1" x14ac:dyDescent="0.2">
      <c r="H87" s="35"/>
    </row>
    <row r="88" spans="8:8" s="27" customFormat="1" x14ac:dyDescent="0.2">
      <c r="H88" s="35"/>
    </row>
    <row r="89" spans="8:8" s="27" customFormat="1" x14ac:dyDescent="0.2">
      <c r="H89" s="35"/>
    </row>
    <row r="90" spans="8:8" s="27" customFormat="1" x14ac:dyDescent="0.2">
      <c r="H90" s="35"/>
    </row>
    <row r="91" spans="8:8" s="27" customFormat="1" x14ac:dyDescent="0.2">
      <c r="H91" s="35"/>
    </row>
    <row r="92" spans="8:8" s="27" customFormat="1" x14ac:dyDescent="0.2">
      <c r="H92" s="35"/>
    </row>
    <row r="93" spans="8:8" s="27" customFormat="1" x14ac:dyDescent="0.2">
      <c r="H93" s="35"/>
    </row>
    <row r="94" spans="8:8" s="27" customFormat="1" x14ac:dyDescent="0.2">
      <c r="H94" s="35"/>
    </row>
    <row r="95" spans="8:8" s="27" customFormat="1" x14ac:dyDescent="0.2">
      <c r="H95" s="35"/>
    </row>
    <row r="96" spans="8:8" s="27" customFormat="1" x14ac:dyDescent="0.2">
      <c r="H96" s="35"/>
    </row>
    <row r="97" spans="8:33" s="27" customFormat="1" x14ac:dyDescent="0.2">
      <c r="H97" s="35"/>
    </row>
    <row r="98" spans="8:33" s="27" customFormat="1" x14ac:dyDescent="0.2">
      <c r="H98" s="35"/>
    </row>
    <row r="99" spans="8:33" s="27" customFormat="1" x14ac:dyDescent="0.2">
      <c r="H99" s="35"/>
    </row>
    <row r="100" spans="8:33" x14ac:dyDescent="0.2">
      <c r="Y100" s="27"/>
      <c r="Z100" s="27"/>
      <c r="AA100" s="27"/>
      <c r="AB100" s="27"/>
      <c r="AC100" s="27"/>
      <c r="AD100" s="27"/>
      <c r="AE100" s="27"/>
      <c r="AF100" s="27"/>
      <c r="AG100" s="27"/>
    </row>
    <row r="101" spans="8:33" x14ac:dyDescent="0.2">
      <c r="Y101" s="27"/>
      <c r="Z101" s="27"/>
      <c r="AA101" s="27"/>
      <c r="AB101" s="27"/>
      <c r="AC101" s="27"/>
      <c r="AD101" s="27"/>
      <c r="AE101" s="27"/>
      <c r="AF101" s="27"/>
      <c r="AG101" s="27"/>
    </row>
  </sheetData>
  <mergeCells count="99">
    <mergeCell ref="K37:L37"/>
    <mergeCell ref="B7:C7"/>
    <mergeCell ref="K5:L5"/>
    <mergeCell ref="B2:V2"/>
    <mergeCell ref="Y2:AF2"/>
    <mergeCell ref="C11:H11"/>
    <mergeCell ref="C12:F12"/>
    <mergeCell ref="J12:M12"/>
    <mergeCell ref="Q12:T12"/>
    <mergeCell ref="B4:C4"/>
    <mergeCell ref="B5:C5"/>
    <mergeCell ref="B6:C6"/>
    <mergeCell ref="C13:F13"/>
    <mergeCell ref="J13:M13"/>
    <mergeCell ref="Q13:T13"/>
    <mergeCell ref="C14:F14"/>
    <mergeCell ref="J14:M14"/>
    <mergeCell ref="Q14:T14"/>
    <mergeCell ref="C15:F15"/>
    <mergeCell ref="J15:M15"/>
    <mergeCell ref="Q15:T15"/>
    <mergeCell ref="C16:F16"/>
    <mergeCell ref="J16:M16"/>
    <mergeCell ref="Q16:T16"/>
    <mergeCell ref="C20:F20"/>
    <mergeCell ref="J20:M20"/>
    <mergeCell ref="Q20:T20"/>
    <mergeCell ref="C17:F17"/>
    <mergeCell ref="J17:M17"/>
    <mergeCell ref="Q17:T17"/>
    <mergeCell ref="Z18:AF18"/>
    <mergeCell ref="C19:F19"/>
    <mergeCell ref="J19:M19"/>
    <mergeCell ref="Q19:T19"/>
    <mergeCell ref="Z19:AF19"/>
    <mergeCell ref="C18:F18"/>
    <mergeCell ref="J18:M18"/>
    <mergeCell ref="Q18:T18"/>
    <mergeCell ref="C23:F23"/>
    <mergeCell ref="J23:M23"/>
    <mergeCell ref="Q23:T23"/>
    <mergeCell ref="Z23:AF23"/>
    <mergeCell ref="Z20:AF20"/>
    <mergeCell ref="C21:F21"/>
    <mergeCell ref="J21:M21"/>
    <mergeCell ref="Q21:T21"/>
    <mergeCell ref="Z21:AF21"/>
    <mergeCell ref="C22:F22"/>
    <mergeCell ref="J22:M22"/>
    <mergeCell ref="Q22:T22"/>
    <mergeCell ref="Z22:AF22"/>
    <mergeCell ref="C24:F24"/>
    <mergeCell ref="J24:M24"/>
    <mergeCell ref="Q24:T24"/>
    <mergeCell ref="Z24:AF24"/>
    <mergeCell ref="Z30:AF30"/>
    <mergeCell ref="C25:F25"/>
    <mergeCell ref="J25:M25"/>
    <mergeCell ref="Q25:T25"/>
    <mergeCell ref="Z25:AF25"/>
    <mergeCell ref="Q30:T30"/>
    <mergeCell ref="Z33:AF33"/>
    <mergeCell ref="C27:F27"/>
    <mergeCell ref="J27:M27"/>
    <mergeCell ref="Q27:T27"/>
    <mergeCell ref="Z27:AF27"/>
    <mergeCell ref="J30:M30"/>
    <mergeCell ref="Z34:AF34"/>
    <mergeCell ref="Z35:AF35"/>
    <mergeCell ref="C26:F26"/>
    <mergeCell ref="J26:M26"/>
    <mergeCell ref="Q26:T26"/>
    <mergeCell ref="Z26:AF26"/>
    <mergeCell ref="U34:V34"/>
    <mergeCell ref="C28:F28"/>
    <mergeCell ref="J28:M28"/>
    <mergeCell ref="Q28:T28"/>
    <mergeCell ref="Z28:AF28"/>
    <mergeCell ref="Z31:AF31"/>
    <mergeCell ref="C29:F29"/>
    <mergeCell ref="J29:M29"/>
    <mergeCell ref="Q29:T29"/>
    <mergeCell ref="Z29:AF29"/>
    <mergeCell ref="G36:H36"/>
    <mergeCell ref="U36:V36"/>
    <mergeCell ref="AA36:AC36"/>
    <mergeCell ref="C30:F30"/>
    <mergeCell ref="C32:H32"/>
    <mergeCell ref="J32:O32"/>
    <mergeCell ref="Q32:V32"/>
    <mergeCell ref="Z32:AF32"/>
    <mergeCell ref="G35:H35"/>
    <mergeCell ref="N35:O35"/>
    <mergeCell ref="U35:V35"/>
    <mergeCell ref="G33:H33"/>
    <mergeCell ref="N33:O33"/>
    <mergeCell ref="U33:V33"/>
    <mergeCell ref="G34:H34"/>
    <mergeCell ref="N34:O3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H8" sqref="H8"/>
    </sheetView>
  </sheetViews>
  <sheetFormatPr defaultRowHeight="15" x14ac:dyDescent="0.25"/>
  <sheetData>
    <row r="6" spans="3:8" x14ac:dyDescent="0.25">
      <c r="C6" s="95"/>
      <c r="D6" s="189" t="s">
        <v>79</v>
      </c>
      <c r="E6" s="189"/>
      <c r="F6" s="189"/>
      <c r="G6" s="189"/>
      <c r="H6" s="93" t="s">
        <v>80</v>
      </c>
    </row>
    <row r="7" spans="3:8" x14ac:dyDescent="0.25">
      <c r="C7" s="95"/>
      <c r="D7" s="93" t="s">
        <v>11</v>
      </c>
      <c r="E7" s="93" t="s">
        <v>14</v>
      </c>
      <c r="F7" s="93" t="s">
        <v>15</v>
      </c>
      <c r="G7" s="93" t="s">
        <v>81</v>
      </c>
      <c r="H7" s="93" t="s">
        <v>82</v>
      </c>
    </row>
    <row r="8" spans="3:8" x14ac:dyDescent="0.25">
      <c r="C8" s="95" t="s">
        <v>83</v>
      </c>
      <c r="D8" s="94">
        <f ca="1">Surface!F42</f>
        <v>14.56928229470298</v>
      </c>
      <c r="E8" s="94">
        <f ca="1">Surface!M42</f>
        <v>8.4360750884649054</v>
      </c>
      <c r="F8" s="94">
        <f ca="1">Surface!T42</f>
        <v>16.000000000000007</v>
      </c>
      <c r="G8" s="94">
        <f ca="1">Surface!W42</f>
        <v>11.652729202285879</v>
      </c>
      <c r="H8" s="94">
        <f ca="1">SubS!AB32</f>
        <v>0.58684040012605765</v>
      </c>
    </row>
    <row r="9" spans="3:8" x14ac:dyDescent="0.25">
      <c r="C9" s="95" t="s">
        <v>84</v>
      </c>
      <c r="D9" s="94">
        <f ca="1">Surface!F43</f>
        <v>38.448195252059989</v>
      </c>
      <c r="E9" s="94">
        <f ca="1">Surface!M43</f>
        <v>23.581866664631569</v>
      </c>
      <c r="F9" s="94">
        <f ca="1">Surface!T43</f>
        <v>35.178592589082889</v>
      </c>
      <c r="G9" s="94">
        <f ca="1">Surface!W43</f>
        <v>31.783981289838628</v>
      </c>
      <c r="H9" s="94">
        <f ca="1">SubS!AB33</f>
        <v>23.297066705022917</v>
      </c>
    </row>
    <row r="10" spans="3:8" x14ac:dyDescent="0.25">
      <c r="C10" s="95" t="s">
        <v>85</v>
      </c>
      <c r="D10" s="94">
        <f ca="1">Surface!F44</f>
        <v>74.068806427152126</v>
      </c>
      <c r="E10" s="94">
        <f ca="1">Surface!M44</f>
        <v>64.000000000000028</v>
      </c>
      <c r="F10" s="94">
        <f ca="1">Surface!T44</f>
        <v>81.413177426311549</v>
      </c>
      <c r="G10" s="94">
        <f ca="1">Surface!W44</f>
        <v>74.727615841549522</v>
      </c>
      <c r="H10" s="94">
        <f ca="1">SubS!AB34</f>
        <v>77.793545055495898</v>
      </c>
    </row>
    <row r="11" spans="3:8" x14ac:dyDescent="0.25">
      <c r="C11" s="95" t="s">
        <v>86</v>
      </c>
      <c r="D11" s="94">
        <f ca="1">Surface!F45</f>
        <v>99.528508990411581</v>
      </c>
      <c r="E11" s="94">
        <f ca="1">Surface!M45</f>
        <v>80.331954009860326</v>
      </c>
      <c r="F11" s="94">
        <f ca="1">Surface!T45</f>
        <v>93.22647330451862</v>
      </c>
      <c r="G11" s="94">
        <f ca="1">Surface!W45</f>
        <v>90</v>
      </c>
      <c r="H11" s="94">
        <f ca="1">SubS!AB35</f>
        <v>95.025595724303884</v>
      </c>
    </row>
    <row r="12" spans="3:8" x14ac:dyDescent="0.25">
      <c r="C12" s="95"/>
      <c r="D12" s="94"/>
      <c r="E12" s="94"/>
      <c r="F12" s="94"/>
      <c r="G12" s="94"/>
      <c r="H12" s="94"/>
    </row>
    <row r="13" spans="3:8" x14ac:dyDescent="0.25">
      <c r="C13" s="95" t="s">
        <v>87</v>
      </c>
      <c r="D13" s="94">
        <f ca="1">Surface!F47</f>
        <v>2.2827238206915714</v>
      </c>
      <c r="E13" s="94">
        <f ca="1">Surface!M47</f>
        <v>2.7546548393125354</v>
      </c>
      <c r="F13" s="94">
        <f ca="1">Surface!T47</f>
        <v>2.2564719304585279</v>
      </c>
      <c r="G13" s="94">
        <f ca="1">Surface!W47</f>
        <v>2.5393545552695547</v>
      </c>
      <c r="H13" s="94">
        <f ca="1">SubS!AB37</f>
        <v>21.51917596142431</v>
      </c>
    </row>
    <row r="14" spans="3:8" x14ac:dyDescent="0.25">
      <c r="C14" s="95" t="s">
        <v>88</v>
      </c>
      <c r="D14" s="94">
        <f>Surface!F49</f>
        <v>11</v>
      </c>
      <c r="E14" s="94">
        <f>Surface!M49</f>
        <v>13</v>
      </c>
      <c r="F14" s="94">
        <f>Surface!T49</f>
        <v>15</v>
      </c>
      <c r="G14" s="94">
        <f>Surface!W49</f>
        <v>13</v>
      </c>
      <c r="H14" s="95"/>
    </row>
    <row r="15" spans="3:8" x14ac:dyDescent="0.25">
      <c r="C15" s="95"/>
      <c r="D15" s="95"/>
      <c r="E15" s="95"/>
      <c r="F15" s="95"/>
      <c r="G15" s="95"/>
      <c r="H15" s="95"/>
    </row>
    <row r="16" spans="3:8" x14ac:dyDescent="0.25">
      <c r="C16" s="95" t="s">
        <v>89</v>
      </c>
      <c r="D16" s="95"/>
      <c r="E16" s="95"/>
      <c r="F16" s="95"/>
      <c r="G16" s="95"/>
      <c r="H16" s="94">
        <f>SubS!AB38</f>
        <v>76.985433303351613</v>
      </c>
    </row>
    <row r="17" spans="3:8" x14ac:dyDescent="0.25">
      <c r="C17" s="95" t="s">
        <v>90</v>
      </c>
      <c r="D17" s="95"/>
      <c r="E17" s="95"/>
      <c r="F17" s="95"/>
      <c r="G17" s="95"/>
      <c r="H17" s="94">
        <f>SubS!AB39</f>
        <v>22.588371017080828</v>
      </c>
    </row>
    <row r="18" spans="3:8" x14ac:dyDescent="0.25">
      <c r="C18" s="95" t="s">
        <v>91</v>
      </c>
      <c r="D18" s="95"/>
      <c r="E18" s="95"/>
      <c r="F18" s="95"/>
      <c r="G18" s="95"/>
      <c r="H18" s="94">
        <f>SubS!AB40</f>
        <v>0.42619567956756277</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6" sqref="A6"/>
    </sheetView>
  </sheetViews>
  <sheetFormatPr defaultRowHeight="15" x14ac:dyDescent="0.25"/>
  <sheetData>
    <row r="1" spans="1:1" x14ac:dyDescent="0.25">
      <c r="A1" s="99" t="s">
        <v>92</v>
      </c>
    </row>
    <row r="2" spans="1:1" x14ac:dyDescent="0.25">
      <c r="A2" s="99"/>
    </row>
    <row r="3" spans="1:1" x14ac:dyDescent="0.25">
      <c r="A3" s="99" t="s">
        <v>95</v>
      </c>
    </row>
    <row r="4" spans="1:1" x14ac:dyDescent="0.25">
      <c r="A4" s="99"/>
    </row>
    <row r="5" spans="1:1" x14ac:dyDescent="0.25">
      <c r="A5" s="99" t="s">
        <v>96</v>
      </c>
    </row>
    <row r="6" spans="1:1" x14ac:dyDescent="0.25">
      <c r="A6" s="99"/>
    </row>
    <row r="7" spans="1:1" x14ac:dyDescent="0.25">
      <c r="A7" s="99" t="s">
        <v>93</v>
      </c>
    </row>
    <row r="8" spans="1:1" x14ac:dyDescent="0.25">
      <c r="A8" s="99"/>
    </row>
    <row r="9" spans="1:1" x14ac:dyDescent="0.25">
      <c r="A9" s="99"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SubS</vt:lpstr>
      <vt:lpstr>Surface</vt:lpstr>
      <vt:lpstr>Summary</vt:lpstr>
      <vt:lpstr>readme</vt:lpstr>
      <vt:lpstr>Dist Chart</vt:lpstr>
      <vt:lpstr>SubS!Print_Area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cp:lastPrinted>2014-06-20T00:17:21Z</cp:lastPrinted>
  <dcterms:created xsi:type="dcterms:W3CDTF">2013-10-08T21:21:00Z</dcterms:created>
  <dcterms:modified xsi:type="dcterms:W3CDTF">2014-12-18T16:45:08Z</dcterms:modified>
</cp:coreProperties>
</file>