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84 (184.7-185.7)\"/>
    </mc:Choice>
  </mc:AlternateContent>
  <bookViews>
    <workbookView xWindow="-15" yWindow="0" windowWidth="946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V16" i="2" l="1"/>
  <c r="V17" i="2" s="1"/>
  <c r="V18" i="2" s="1"/>
  <c r="V19" i="2" s="1"/>
  <c r="V20" i="2" s="1"/>
  <c r="V21" i="2" s="1"/>
  <c r="V22" i="2" s="1"/>
  <c r="V23" i="2" s="1"/>
  <c r="V24" i="2" s="1"/>
  <c r="V25" i="2" s="1"/>
  <c r="V26" i="2" s="1"/>
  <c r="V27" i="2" s="1"/>
  <c r="V28" i="2" s="1"/>
  <c r="V29" i="2" s="1"/>
  <c r="V30" i="2" s="1"/>
  <c r="V31" i="2" s="1"/>
  <c r="V32" i="2" s="1"/>
  <c r="O16" i="2" l="1"/>
  <c r="O17" i="2" s="1"/>
  <c r="O18" i="2" s="1"/>
  <c r="O19" i="2" s="1"/>
  <c r="O20" i="2" s="1"/>
  <c r="O21" i="2" s="1"/>
  <c r="O22" i="2" s="1"/>
  <c r="O23" i="2" s="1"/>
  <c r="O24" i="2" s="1"/>
  <c r="O25" i="2" s="1"/>
  <c r="O26" i="2" s="1"/>
  <c r="O27" i="2" s="1"/>
  <c r="O28" i="2" s="1"/>
  <c r="O29" i="2" s="1"/>
  <c r="O30" i="2" s="1"/>
  <c r="O31" i="2" s="1"/>
  <c r="O32" i="2" s="1"/>
  <c r="H16" i="2"/>
  <c r="H17" i="2" s="1"/>
  <c r="H18" i="2" s="1"/>
  <c r="H19" i="2" s="1"/>
  <c r="H20" i="2" s="1"/>
  <c r="H21" i="2" s="1"/>
  <c r="H22" i="2" s="1"/>
  <c r="H23" i="2" s="1"/>
  <c r="H24" i="2" s="1"/>
  <c r="H25" i="2" s="1"/>
  <c r="H26" i="2" s="1"/>
  <c r="H27" i="2" s="1"/>
  <c r="H28" i="2" s="1"/>
  <c r="H29" i="2" s="1"/>
  <c r="H30" i="2" s="1"/>
  <c r="H31" i="2" s="1"/>
  <c r="H32" i="2" s="1"/>
  <c r="H40" i="1" l="1"/>
  <c r="H39" i="1"/>
  <c r="H38" i="1"/>
  <c r="H37" i="1"/>
  <c r="H36" i="1"/>
  <c r="H35" i="1"/>
  <c r="H34" i="1"/>
  <c r="H33" i="1"/>
  <c r="H32" i="1"/>
  <c r="F43" i="1"/>
  <c r="C43" i="1"/>
  <c r="H43" i="1" l="1"/>
  <c r="H14" i="2"/>
  <c r="F51" i="2" s="1"/>
  <c r="W32" i="2"/>
  <c r="T51" i="2"/>
  <c r="T47" i="2"/>
  <c r="T46" i="2"/>
  <c r="T45" i="2"/>
  <c r="T44" i="2"/>
  <c r="F47" i="2" l="1"/>
  <c r="F45" i="2"/>
  <c r="F44" i="2"/>
  <c r="F46" i="2"/>
  <c r="T49" i="2"/>
  <c r="F14" i="3"/>
  <c r="D14" i="3"/>
  <c r="W15" i="2"/>
  <c r="O14"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1" i="1"/>
  <c r="E20" i="1"/>
  <c r="E19" i="1"/>
  <c r="E18" i="1"/>
  <c r="E17" i="1"/>
  <c r="E16" i="1"/>
  <c r="E15" i="1"/>
  <c r="F49" i="2" l="1"/>
  <c r="M51" i="2"/>
  <c r="E14" i="3" s="1"/>
  <c r="W14" i="2"/>
  <c r="E25" i="1"/>
  <c r="H47" i="1" s="1"/>
  <c r="AA9" i="1"/>
  <c r="AA28" i="1"/>
  <c r="W16" i="2"/>
  <c r="D9" i="3"/>
  <c r="D8" i="3"/>
  <c r="AB27" i="1"/>
  <c r="AB9" i="1"/>
  <c r="I32" i="1"/>
  <c r="I33" i="1" s="1"/>
  <c r="I34" i="1" s="1"/>
  <c r="I35" i="1" s="1"/>
  <c r="I36" i="1" s="1"/>
  <c r="I37" i="1" s="1"/>
  <c r="I38" i="1" s="1"/>
  <c r="I39" i="1" s="1"/>
  <c r="I40" i="1" s="1"/>
  <c r="I42" i="1" s="1"/>
  <c r="I43" i="1" s="1"/>
  <c r="D25" i="1"/>
  <c r="C25" i="1"/>
  <c r="W51" i="2" l="1"/>
  <c r="G14" i="3" s="1"/>
  <c r="M44" i="2"/>
  <c r="E8" i="3" s="1"/>
  <c r="M47" i="2"/>
  <c r="E11" i="3" s="1"/>
  <c r="W17" i="2"/>
  <c r="M46" i="2"/>
  <c r="E10" i="3" s="1"/>
  <c r="M45" i="2"/>
  <c r="E9" i="3" s="1"/>
  <c r="D11" i="3"/>
  <c r="AB28" i="1"/>
  <c r="AC9" i="1"/>
  <c r="D13" i="3" l="1"/>
  <c r="D10" i="3"/>
  <c r="M49" i="2"/>
  <c r="E13" i="3" s="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F8" i="3"/>
  <c r="F9" i="3"/>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F11" i="3"/>
  <c r="AA39" i="1"/>
  <c r="H18" i="3" s="1"/>
  <c r="AA31" i="1"/>
  <c r="H8" i="3" s="1"/>
  <c r="AA37" i="1"/>
  <c r="H16" i="3" s="1"/>
  <c r="AA38" i="1"/>
  <c r="H17" i="3" s="1"/>
  <c r="AA36" i="1" l="1"/>
  <c r="H13" i="3" s="1"/>
  <c r="F13" i="3"/>
  <c r="F10" i="3"/>
  <c r="W30" i="2"/>
  <c r="W29" i="2"/>
  <c r="W44" i="2" l="1"/>
  <c r="G8" i="3" s="1"/>
  <c r="W47" i="2"/>
  <c r="G11" i="3" s="1"/>
  <c r="W46" i="2"/>
  <c r="G10" i="3" s="1"/>
  <c r="W45" i="2"/>
  <c r="G9" i="3" s="1"/>
  <c r="W49" i="2" l="1"/>
  <c r="G13" i="3" s="1"/>
</calcChain>
</file>

<file path=xl/sharedStrings.xml><?xml version="1.0" encoding="utf-8"?>
<sst xmlns="http://schemas.openxmlformats.org/spreadsheetml/2006/main" count="193" uniqueCount="147">
  <si>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</si>
  <si>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</si>
  <si>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</si>
  <si>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</si>
  <si>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</si>
  <si>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</si>
  <si>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</si>
  <si>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</si>
  <si>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</si>
  <si>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</si>
  <si>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</si>
  <si>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</si>
  <si>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</si>
  <si>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</si>
  <si>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</si>
  <si>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</si>
  <si>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</si>
  <si>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</si>
  <si>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</si>
  <si>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</si>
  <si>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</si>
  <si>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</si>
  <si>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</si>
  <si>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</si>
  <si>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</si>
  <si>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</si>
  <si>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</si>
  <si>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</si>
  <si>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</si>
  <si>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</si>
  <si>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</si>
  <si>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</si>
  <si>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</si>
  <si>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</si>
  <si>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</si>
  <si>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</si>
  <si>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</si>
  <si>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</si>
  <si>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</si>
  <si>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</si>
  <si>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</si>
  <si>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</si>
  <si>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</si>
  <si>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</si>
  <si>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</si>
  <si>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</si>
  <si>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</si>
  <si>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</si>
  <si>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</si>
  <si>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</si>
  <si>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</si>
  <si>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</si>
  <si>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</si>
  <si>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</si>
  <si>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</si>
  <si>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</si>
  <si>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</si>
  <si>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</si>
  <si>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</si>
  <si>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</si>
  <si>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</si>
  <si>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</si>
  <si>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</si>
  <si>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</si>
  <si>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</si>
  <si>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</si>
  <si>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</si>
  <si>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</si>
  <si>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</si>
  <si>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</si>
  <si>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</si>
  <si>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</si>
  <si>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</si>
  <si>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</si>
  <si>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</si>
  <si>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</si>
  <si>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</si>
  <si>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</si>
  <si>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</si>
  <si>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</si>
  <si>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</si>
  <si>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</si>
  <si>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</si>
  <si>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</si>
  <si>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</si>
  <si>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</si>
  <si>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</si>
  <si>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</si>
  <si>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</si>
  <si>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</si>
  <si>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</si>
  <si>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</si>
  <si>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</si>
  <si>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</si>
  <si>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</si>
  <si>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</si>
  <si>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</si>
  <si>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</si>
  <si>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</si>
  <si>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</si>
  <si>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</si>
  <si>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</si>
  <si>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</si>
  <si>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</si>
  <si>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</si>
  <si>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</si>
  <si>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</si>
  <si>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</si>
  <si>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</si>
  <si>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</si>
  <si>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</si>
  <si>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</si>
  <si>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</si>
  <si>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</si>
  <si>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</si>
  <si>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</si>
  <si>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</si>
  <si>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</si>
  <si>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</si>
  <si>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</si>
  <si>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</si>
  <si>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</si>
  <si>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</si>
  <si>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</si>
  <si>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</si>
  <si>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</si>
  <si>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</si>
  <si>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</si>
  <si>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</si>
  <si>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</si>
  <si>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</si>
  <si>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</si>
  <si>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Susitna</t>
  </si>
  <si>
    <t>MDH</t>
  </si>
  <si>
    <t>S1</t>
  </si>
  <si>
    <t>BT,CB, MDH, RAV</t>
  </si>
  <si>
    <t>459.3 - 456.5</t>
  </si>
  <si>
    <t xml:space="preserve"> ____1 of __1_</t>
  </si>
  <si>
    <t>Y</t>
  </si>
  <si>
    <t>100' x 1' x 3</t>
  </si>
  <si>
    <t>site on arrival, view d/s of head of is.</t>
  </si>
  <si>
    <t>surface layer at 50' mark</t>
  </si>
  <si>
    <t>sample pit</t>
  </si>
  <si>
    <t>view d/s of site after sampling. Hole filled in</t>
  </si>
  <si>
    <t>Page __2__ of __2___</t>
  </si>
  <si>
    <t>PRM185.4</t>
  </si>
  <si>
    <t>3 PCs performed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</si>
</sst>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164" fontId="2" fillId="0" borderId="2" xfId="0" applyNumberFormat="1" applyFont="1" applyBorder="1" applyAlignment="1">
      <alignment horizontal="right"/>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185.4</a:t>
            </a:r>
            <a:endParaRPr lang="en-US"/>
          </a:p>
        </c:rich>
      </c:tx>
      <c:layout>
        <c:manualLayout>
          <c:xMode val="edge"/>
          <c:yMode val="edge"/>
          <c:x val="0.34680078017770716"/>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0</c:v>
                </c:pt>
                <c:pt idx="2">
                  <c:v>0</c:v>
                </c:pt>
                <c:pt idx="3">
                  <c:v>0</c:v>
                </c:pt>
                <c:pt idx="4">
                  <c:v>0</c:v>
                </c:pt>
                <c:pt idx="5">
                  <c:v>0</c:v>
                </c:pt>
                <c:pt idx="6">
                  <c:v>2</c:v>
                </c:pt>
                <c:pt idx="7">
                  <c:v>7</c:v>
                </c:pt>
                <c:pt idx="8">
                  <c:v>17</c:v>
                </c:pt>
                <c:pt idx="9">
                  <c:v>30</c:v>
                </c:pt>
                <c:pt idx="10">
                  <c:v>52</c:v>
                </c:pt>
                <c:pt idx="11">
                  <c:v>68</c:v>
                </c:pt>
                <c:pt idx="12">
                  <c:v>80</c:v>
                </c:pt>
                <c:pt idx="13">
                  <c:v>93</c:v>
                </c:pt>
                <c:pt idx="14">
                  <c:v>100</c:v>
                </c:pt>
                <c:pt idx="15">
                  <c:v>100</c:v>
                </c:pt>
                <c:pt idx="16">
                  <c:v>100</c:v>
                </c:pt>
                <c:pt idx="17">
                  <c:v>100</c:v>
                </c:pt>
              </c:numCache>
            </c:numRef>
          </c:yVal>
          <c:smooth val="0"/>
        </c:ser>
        <c:ser>
          <c:idx val="2"/>
          <c:order val="11"/>
          <c:tx>
            <c:v>Surface Sample Center</c:v>
          </c:tx>
          <c:spPr>
            <a:ln w="1905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Surface!$O$15:$O$32</c:f>
              <c:numCache>
                <c:formatCode>General</c:formatCode>
                <c:ptCount val="18"/>
                <c:pt idx="0">
                  <c:v>0</c:v>
                </c:pt>
                <c:pt idx="1">
                  <c:v>0</c:v>
                </c:pt>
                <c:pt idx="2">
                  <c:v>0</c:v>
                </c:pt>
                <c:pt idx="3">
                  <c:v>0</c:v>
                </c:pt>
                <c:pt idx="4">
                  <c:v>0</c:v>
                </c:pt>
                <c:pt idx="5">
                  <c:v>0</c:v>
                </c:pt>
                <c:pt idx="6">
                  <c:v>1</c:v>
                </c:pt>
                <c:pt idx="7">
                  <c:v>1</c:v>
                </c:pt>
                <c:pt idx="8">
                  <c:v>4</c:v>
                </c:pt>
                <c:pt idx="9">
                  <c:v>20</c:v>
                </c:pt>
                <c:pt idx="10">
                  <c:v>49</c:v>
                </c:pt>
                <c:pt idx="11">
                  <c:v>66</c:v>
                </c:pt>
                <c:pt idx="12">
                  <c:v>88</c:v>
                </c:pt>
                <c:pt idx="13">
                  <c:v>98</c:v>
                </c:pt>
                <c:pt idx="14">
                  <c:v>100</c:v>
                </c:pt>
                <c:pt idx="15">
                  <c:v>100</c:v>
                </c:pt>
                <c:pt idx="16">
                  <c:v>100</c:v>
                </c:pt>
                <c:pt idx="17">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Surface!$V$15:$V$32</c:f>
              <c:numCache>
                <c:formatCode>General</c:formatCode>
                <c:ptCount val="18"/>
                <c:pt idx="0">
                  <c:v>0</c:v>
                </c:pt>
                <c:pt idx="1">
                  <c:v>0</c:v>
                </c:pt>
                <c:pt idx="2">
                  <c:v>0</c:v>
                </c:pt>
                <c:pt idx="3">
                  <c:v>0</c:v>
                </c:pt>
                <c:pt idx="4">
                  <c:v>1</c:v>
                </c:pt>
                <c:pt idx="5">
                  <c:v>2</c:v>
                </c:pt>
                <c:pt idx="6">
                  <c:v>3</c:v>
                </c:pt>
                <c:pt idx="7">
                  <c:v>8</c:v>
                </c:pt>
                <c:pt idx="8">
                  <c:v>17</c:v>
                </c:pt>
                <c:pt idx="9">
                  <c:v>27</c:v>
                </c:pt>
                <c:pt idx="10">
                  <c:v>40</c:v>
                </c:pt>
                <c:pt idx="11">
                  <c:v>54</c:v>
                </c:pt>
                <c:pt idx="12">
                  <c:v>77</c:v>
                </c:pt>
                <c:pt idx="13">
                  <c:v>90</c:v>
                </c:pt>
                <c:pt idx="14">
                  <c:v>100</c:v>
                </c:pt>
                <c:pt idx="15">
                  <c:v>100</c:v>
                </c:pt>
                <c:pt idx="16">
                  <c:v>100</c:v>
                </c:pt>
                <c:pt idx="17">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Surface!$P$15:$P$32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Surface!$W$15:$W$32</c:f>
              <c:numCache>
                <c:formatCode>0.0</c:formatCode>
                <c:ptCount val="18"/>
                <c:pt idx="0">
                  <c:v>0</c:v>
                </c:pt>
                <c:pt idx="1">
                  <c:v>0</c:v>
                </c:pt>
                <c:pt idx="2">
                  <c:v>0</c:v>
                </c:pt>
                <c:pt idx="3">
                  <c:v>0</c:v>
                </c:pt>
                <c:pt idx="4">
                  <c:v>0.33333333333333331</c:v>
                </c:pt>
                <c:pt idx="5">
                  <c:v>0.66666666666666663</c:v>
                </c:pt>
                <c:pt idx="6">
                  <c:v>2</c:v>
                </c:pt>
                <c:pt idx="7">
                  <c:v>5.333333333333333</c:v>
                </c:pt>
                <c:pt idx="8">
                  <c:v>12.666666666666666</c:v>
                </c:pt>
                <c:pt idx="9">
                  <c:v>25.666666666666668</c:v>
                </c:pt>
                <c:pt idx="10">
                  <c:v>47</c:v>
                </c:pt>
                <c:pt idx="11">
                  <c:v>62.666666666666664</c:v>
                </c:pt>
                <c:pt idx="12">
                  <c:v>81.666666666666671</c:v>
                </c:pt>
                <c:pt idx="13">
                  <c:v>93.666666666666671</c:v>
                </c:pt>
                <c:pt idx="14">
                  <c:v>100</c:v>
                </c:pt>
                <c:pt idx="15">
                  <c:v>100</c:v>
                </c:pt>
                <c:pt idx="17">
                  <c:v>100</c:v>
                </c:pt>
              </c:numCache>
            </c:numRef>
          </c:yVal>
          <c:smooth val="0"/>
        </c:ser>
        <c:ser>
          <c:idx val="1"/>
          <c:order val="14"/>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96.683786163266277</c:v>
                </c:pt>
                <c:pt idx="4">
                  <c:v>84.570393954086114</c:v>
                </c:pt>
                <c:pt idx="5">
                  <c:v>77.984024806128843</c:v>
                </c:pt>
                <c:pt idx="6">
                  <c:v>65.548222918377363</c:v>
                </c:pt>
                <c:pt idx="7">
                  <c:v>54.448118270421411</c:v>
                </c:pt>
                <c:pt idx="8">
                  <c:v>46.157583678587088</c:v>
                </c:pt>
                <c:pt idx="9">
                  <c:v>38.972453698997334</c:v>
                </c:pt>
                <c:pt idx="10">
                  <c:v>30.39851388521792</c:v>
                </c:pt>
                <c:pt idx="11">
                  <c:v>23.383472219398399</c:v>
                </c:pt>
                <c:pt idx="12">
                  <c:v>17.147879627558826</c:v>
                </c:pt>
                <c:pt idx="13">
                  <c:v>13.640358794649066</c:v>
                </c:pt>
                <c:pt idx="14">
                  <c:v>12.471185183679147</c:v>
                </c:pt>
                <c:pt idx="15">
                  <c:v>6.6253171288295469</c:v>
                </c:pt>
                <c:pt idx="16">
                  <c:v>2.7280717589298136</c:v>
                </c:pt>
                <c:pt idx="17">
                  <c:v>1.1691736109699198</c:v>
                </c:pt>
              </c:numCache>
            </c:numRef>
          </c:yVal>
          <c:smooth val="0"/>
        </c:ser>
        <c:dLbls>
          <c:showLegendKey val="0"/>
          <c:showVal val="0"/>
          <c:showCatName val="0"/>
          <c:showSerName val="0"/>
          <c:showPercent val="0"/>
          <c:showBubbleSize val="0"/>
        </c:dLbls>
        <c:axId val="544428544"/>
        <c:axId val="544428936"/>
      </c:scatterChart>
      <c:valAx>
        <c:axId val="54442854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44428936"/>
        <c:crosses val="autoZero"/>
        <c:crossBetween val="midCat"/>
        <c:majorUnit val="10"/>
        <c:minorUnit val="10"/>
      </c:valAx>
      <c:valAx>
        <c:axId val="54442893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4442854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106680</xdr:rowOff>
    </xdr:from>
    <xdr:to>
      <xdr:col>3</xdr:col>
      <xdr:colOff>323850</xdr:colOff>
      <xdr:row>7</xdr:row>
      <xdr:rowOff>419099</xdr:rowOff>
    </xdr:to>
    <xdr:sp macro="" textlink="">
      <xdr:nvSpPr>
        <xdr:cNvPr id="2" name="Oval 1"/>
        <xdr:cNvSpPr/>
      </xdr:nvSpPr>
      <xdr:spPr>
        <a:xfrm>
          <a:off x="1609725" y="1607820"/>
          <a:ext cx="992505" cy="31241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504825</xdr:colOff>
      <xdr:row>44</xdr:row>
      <xdr:rowOff>51435</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96225"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476250</xdr:colOff>
      <xdr:row>9</xdr:row>
      <xdr:rowOff>19050</xdr:rowOff>
    </xdr:from>
    <xdr:to>
      <xdr:col>3</xdr:col>
      <xdr:colOff>361950</xdr:colOff>
      <xdr:row>9</xdr:row>
      <xdr:rowOff>152400</xdr:rowOff>
    </xdr:to>
    <xdr:sp macro="" textlink="">
      <xdr:nvSpPr>
        <xdr:cNvPr id="6" name="Oval 5"/>
        <xdr:cNvSpPr/>
      </xdr:nvSpPr>
      <xdr:spPr>
        <a:xfrm>
          <a:off x="1514475" y="1800225"/>
          <a:ext cx="533400" cy="1333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13" workbookViewId="0"/>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3" t="s">
        <v>29</v>
      </c>
      <c r="AA1" s="163"/>
      <c r="AB1" s="163"/>
      <c r="AC1" s="163"/>
      <c r="AD1" s="163"/>
      <c r="AE1" s="163"/>
      <c r="AF1" s="163"/>
      <c r="AG1" s="163"/>
      <c r="AH1"/>
    </row>
    <row r="2" spans="2:34" ht="22.9" x14ac:dyDescent="0.4">
      <c r="B2" s="163" t="s">
        <v>114</v>
      </c>
      <c r="C2" s="163"/>
      <c r="D2" s="163"/>
      <c r="E2" s="163"/>
      <c r="F2" s="163"/>
      <c r="G2" s="163"/>
      <c r="H2" s="163"/>
      <c r="I2" s="163"/>
      <c r="J2" s="163"/>
      <c r="Z2" s="1" t="s">
        <v>30</v>
      </c>
      <c r="AB2" s="56">
        <f>+AA27</f>
        <v>191.5</v>
      </c>
      <c r="AC2" s="1" t="s">
        <v>31</v>
      </c>
      <c r="AH2"/>
    </row>
    <row r="3" spans="2:34" ht="14.45" x14ac:dyDescent="0.3">
      <c r="B3" s="6" t="s">
        <v>32</v>
      </c>
      <c r="C3" s="6" t="s">
        <v>132</v>
      </c>
      <c r="D3" s="20"/>
      <c r="E3" s="6"/>
      <c r="F3" s="6" t="s">
        <v>3</v>
      </c>
      <c r="G3" s="6" t="s">
        <v>135</v>
      </c>
      <c r="H3" s="6"/>
      <c r="I3" s="6"/>
      <c r="J3" s="8"/>
      <c r="Z3" s="1" t="s">
        <v>33</v>
      </c>
      <c r="AB3" s="57">
        <v>9460</v>
      </c>
      <c r="AC3" s="1" t="s">
        <v>34</v>
      </c>
      <c r="AD3" s="58">
        <f>+AB3*0.0022046</f>
        <v>20.855516000000001</v>
      </c>
      <c r="AE3" s="1" t="s">
        <v>31</v>
      </c>
      <c r="AH3"/>
    </row>
    <row r="4" spans="2:34" ht="14.45" x14ac:dyDescent="0.3">
      <c r="B4" s="9" t="s">
        <v>6</v>
      </c>
      <c r="C4" s="10"/>
      <c r="D4" s="150">
        <v>41840</v>
      </c>
      <c r="E4" s="9"/>
      <c r="F4" s="9" t="s">
        <v>115</v>
      </c>
      <c r="G4" s="9"/>
      <c r="H4" s="9">
        <v>3225564.8</v>
      </c>
      <c r="I4" s="9"/>
      <c r="J4" s="8"/>
      <c r="Z4" s="1" t="s">
        <v>35</v>
      </c>
      <c r="AB4" s="101">
        <f>1-AD3/H44</f>
        <v>0.11629169491525426</v>
      </c>
      <c r="AH4"/>
    </row>
    <row r="5" spans="2:34" ht="15" thickBot="1" x14ac:dyDescent="0.35">
      <c r="B5" s="9" t="s">
        <v>8</v>
      </c>
      <c r="C5" s="9"/>
      <c r="D5" s="16" t="s">
        <v>133</v>
      </c>
      <c r="E5" s="9"/>
      <c r="F5" s="9" t="s">
        <v>116</v>
      </c>
      <c r="G5" s="15"/>
      <c r="H5" s="9">
        <v>1876380.8</v>
      </c>
      <c r="I5" s="9"/>
      <c r="J5" s="8"/>
      <c r="AB5" s="59"/>
      <c r="AH5"/>
    </row>
    <row r="6" spans="2:34" ht="14.45" x14ac:dyDescent="0.3">
      <c r="B6" s="9" t="s">
        <v>37</v>
      </c>
      <c r="C6" s="9"/>
      <c r="D6" s="9" t="s">
        <v>145</v>
      </c>
      <c r="E6" s="9"/>
      <c r="F6" s="14" t="s">
        <v>36</v>
      </c>
      <c r="G6" s="9" t="s">
        <v>146</v>
      </c>
      <c r="H6" s="9"/>
      <c r="I6" s="9"/>
      <c r="J6" s="8"/>
      <c r="AA6" s="164" t="s">
        <v>38</v>
      </c>
      <c r="AB6" s="165"/>
      <c r="AC6" s="165"/>
      <c r="AD6" s="166"/>
      <c r="AH6"/>
    </row>
    <row r="7" spans="2:34" ht="14.45" x14ac:dyDescent="0.3">
      <c r="B7" s="9" t="s">
        <v>117</v>
      </c>
      <c r="C7" s="9"/>
      <c r="D7" s="9" t="s">
        <v>134</v>
      </c>
      <c r="E7" s="9"/>
      <c r="F7" s="19"/>
      <c r="G7" s="9"/>
      <c r="H7" s="9"/>
      <c r="I7" s="9"/>
      <c r="J7" s="8"/>
      <c r="AA7" s="17"/>
      <c r="AB7" s="17"/>
      <c r="AC7" s="17"/>
      <c r="AD7" s="17"/>
      <c r="AH7"/>
    </row>
    <row r="8" spans="2:34" ht="42" x14ac:dyDescent="0.3">
      <c r="B8" s="139" t="s">
        <v>118</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2">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2">
        <v>256</v>
      </c>
      <c r="AA10" s="62">
        <f t="shared" si="0"/>
        <v>0</v>
      </c>
      <c r="AB10" s="62">
        <f t="shared" ref="AB10:AB18" si="3">+AA10</f>
        <v>0</v>
      </c>
      <c r="AC10" s="66">
        <f t="shared" ref="AC10:AC18" si="4">+AB10+AC9</f>
        <v>0</v>
      </c>
      <c r="AD10" s="63">
        <f t="shared" si="1"/>
        <v>1</v>
      </c>
      <c r="AE10" s="64"/>
      <c r="AF10" s="64"/>
      <c r="AG10" s="65">
        <f t="shared" si="2"/>
        <v>100</v>
      </c>
      <c r="AH10"/>
    </row>
    <row r="11" spans="2:34" ht="18" thickBot="1" x14ac:dyDescent="0.35">
      <c r="B11" s="167" t="s">
        <v>46</v>
      </c>
      <c r="C11" s="168"/>
      <c r="D11" s="168"/>
      <c r="E11" s="169"/>
      <c r="G11" s="12"/>
      <c r="H11" s="12"/>
      <c r="I11" s="12"/>
      <c r="Z11" s="102">
        <v>180</v>
      </c>
      <c r="AA11" s="62">
        <f t="shared" si="0"/>
        <v>0</v>
      </c>
      <c r="AB11" s="62">
        <f t="shared" si="3"/>
        <v>0</v>
      </c>
      <c r="AC11" s="66">
        <f t="shared" si="4"/>
        <v>0</v>
      </c>
      <c r="AD11" s="63">
        <f t="shared" si="1"/>
        <v>1</v>
      </c>
      <c r="AE11" s="64"/>
      <c r="AF11" s="64"/>
      <c r="AG11" s="65">
        <f t="shared" si="2"/>
        <v>100</v>
      </c>
      <c r="AH11"/>
    </row>
    <row r="12" spans="2:34" ht="14.45" x14ac:dyDescent="0.3">
      <c r="B12" s="67" t="s">
        <v>47</v>
      </c>
      <c r="C12" s="67" t="s">
        <v>48</v>
      </c>
      <c r="D12" s="67" t="s">
        <v>49</v>
      </c>
      <c r="E12" s="67" t="s">
        <v>50</v>
      </c>
      <c r="G12" s="140"/>
      <c r="H12" s="6"/>
      <c r="I12" s="6"/>
      <c r="Z12" s="102">
        <v>128</v>
      </c>
      <c r="AA12" s="62">
        <f t="shared" si="0"/>
        <v>14.400000000000002</v>
      </c>
      <c r="AB12" s="62">
        <f t="shared" si="3"/>
        <v>14.400000000000002</v>
      </c>
      <c r="AC12" s="66">
        <f t="shared" si="4"/>
        <v>14.400000000000002</v>
      </c>
      <c r="AD12" s="63">
        <f>1-(AC12/AB$28)</f>
        <v>0.96683786163266272</v>
      </c>
      <c r="AE12" s="64"/>
      <c r="AF12" s="64"/>
      <c r="AG12" s="65">
        <f t="shared" si="2"/>
        <v>96.683786163266277</v>
      </c>
      <c r="AH12"/>
    </row>
    <row r="13" spans="2:34" ht="27.6" x14ac:dyDescent="0.3">
      <c r="B13" s="68" t="s">
        <v>51</v>
      </c>
      <c r="C13" s="69" t="s">
        <v>52</v>
      </c>
      <c r="D13" s="69" t="s">
        <v>53</v>
      </c>
      <c r="E13" s="69" t="s">
        <v>54</v>
      </c>
      <c r="F13" s="1" t="s">
        <v>119</v>
      </c>
      <c r="G13" s="141"/>
      <c r="H13" s="70"/>
      <c r="I13" s="9" t="s">
        <v>126</v>
      </c>
      <c r="Z13" s="103">
        <v>90</v>
      </c>
      <c r="AA13" s="62">
        <f t="shared" si="0"/>
        <v>52.599999999999994</v>
      </c>
      <c r="AB13" s="62">
        <f t="shared" si="3"/>
        <v>52.599999999999994</v>
      </c>
      <c r="AC13" s="66">
        <f t="shared" si="4"/>
        <v>67</v>
      </c>
      <c r="AD13" s="63">
        <f t="shared" si="1"/>
        <v>0.8457039395408612</v>
      </c>
      <c r="AE13" s="64"/>
      <c r="AF13" s="64"/>
      <c r="AG13" s="65">
        <f t="shared" si="2"/>
        <v>84.570393954086114</v>
      </c>
      <c r="AH13"/>
    </row>
    <row r="14" spans="2:34" ht="14.45" x14ac:dyDescent="0.3">
      <c r="B14" s="68"/>
      <c r="C14" s="69"/>
      <c r="D14" s="69"/>
      <c r="E14" s="71" t="s">
        <v>55</v>
      </c>
      <c r="G14" s="21"/>
      <c r="H14" s="8"/>
      <c r="I14" s="8"/>
      <c r="Z14" s="103">
        <v>64</v>
      </c>
      <c r="AA14" s="62">
        <f t="shared" si="0"/>
        <v>28.6</v>
      </c>
      <c r="AB14" s="62">
        <f t="shared" si="3"/>
        <v>28.6</v>
      </c>
      <c r="AC14" s="66">
        <f t="shared" si="4"/>
        <v>95.6</v>
      </c>
      <c r="AD14" s="63">
        <f t="shared" si="1"/>
        <v>0.77984024806128849</v>
      </c>
      <c r="AE14" s="64"/>
      <c r="AF14" s="64"/>
      <c r="AG14" s="65">
        <f t="shared" si="2"/>
        <v>77.984024806128843</v>
      </c>
      <c r="AH14"/>
    </row>
    <row r="15" spans="2:34" ht="14.45" x14ac:dyDescent="0.3">
      <c r="B15" s="72">
        <v>1</v>
      </c>
      <c r="C15" s="73">
        <v>1.7</v>
      </c>
      <c r="D15" s="73">
        <v>69</v>
      </c>
      <c r="E15" s="115">
        <f t="shared" ref="E15:E21" si="5">D15-C15</f>
        <v>67.3</v>
      </c>
      <c r="G15" s="142" t="s">
        <v>120</v>
      </c>
      <c r="H15" s="143"/>
      <c r="I15" s="8"/>
      <c r="Z15" s="102">
        <v>45</v>
      </c>
      <c r="AA15" s="62">
        <f t="shared" si="0"/>
        <v>54</v>
      </c>
      <c r="AB15" s="62">
        <f t="shared" si="3"/>
        <v>54</v>
      </c>
      <c r="AC15" s="66">
        <f t="shared" si="4"/>
        <v>149.6</v>
      </c>
      <c r="AD15" s="63">
        <f t="shared" si="1"/>
        <v>0.65548222918377363</v>
      </c>
      <c r="AE15" s="64"/>
      <c r="AF15" s="64"/>
      <c r="AG15" s="65">
        <f t="shared" si="2"/>
        <v>65.548222918377363</v>
      </c>
      <c r="AH15"/>
    </row>
    <row r="16" spans="2:34" ht="14.45" customHeight="1" x14ac:dyDescent="0.3">
      <c r="B16" s="72">
        <v>2</v>
      </c>
      <c r="C16" s="73">
        <v>1.7</v>
      </c>
      <c r="D16" s="73">
        <v>75.400000000000006</v>
      </c>
      <c r="E16" s="115">
        <f t="shared" si="5"/>
        <v>73.7</v>
      </c>
      <c r="G16" s="144" t="s">
        <v>121</v>
      </c>
      <c r="H16" s="8"/>
      <c r="I16" s="8"/>
      <c r="K16" s="8"/>
      <c r="L16" s="8"/>
      <c r="M16" s="8"/>
      <c r="N16" s="8"/>
      <c r="Z16" s="102">
        <v>32</v>
      </c>
      <c r="AA16" s="62">
        <f t="shared" si="0"/>
        <v>48.199999999999996</v>
      </c>
      <c r="AB16" s="62">
        <f t="shared" si="3"/>
        <v>48.199999999999996</v>
      </c>
      <c r="AC16" s="66">
        <f t="shared" si="4"/>
        <v>197.79999999999998</v>
      </c>
      <c r="AD16" s="63">
        <f t="shared" si="1"/>
        <v>0.54448118270421408</v>
      </c>
      <c r="AE16" s="64"/>
      <c r="AF16" s="64"/>
      <c r="AG16" s="65">
        <f t="shared" si="2"/>
        <v>54.448118270421411</v>
      </c>
      <c r="AH16"/>
    </row>
    <row r="17" spans="2:34" ht="14.45" x14ac:dyDescent="0.3">
      <c r="B17" s="72">
        <v>3</v>
      </c>
      <c r="C17" s="73">
        <v>1.7</v>
      </c>
      <c r="D17" s="73">
        <v>78.900000000000006</v>
      </c>
      <c r="E17" s="115">
        <f t="shared" si="5"/>
        <v>77.2</v>
      </c>
      <c r="G17" s="145" t="s">
        <v>122</v>
      </c>
      <c r="H17" s="75"/>
      <c r="I17" s="75"/>
      <c r="J17" s="8"/>
      <c r="K17" s="8"/>
      <c r="L17" s="8"/>
      <c r="M17" s="8"/>
      <c r="N17" s="8"/>
      <c r="Z17" s="102">
        <v>22.5</v>
      </c>
      <c r="AA17" s="62">
        <f t="shared" si="0"/>
        <v>36</v>
      </c>
      <c r="AB17" s="62">
        <f t="shared" si="3"/>
        <v>36</v>
      </c>
      <c r="AC17" s="66">
        <f t="shared" si="4"/>
        <v>233.79999999999998</v>
      </c>
      <c r="AD17" s="63">
        <f t="shared" si="1"/>
        <v>0.46157583678587089</v>
      </c>
      <c r="AE17" s="64"/>
      <c r="AF17" s="64"/>
      <c r="AG17" s="65">
        <f t="shared" si="2"/>
        <v>46.157583678587088</v>
      </c>
      <c r="AH17"/>
    </row>
    <row r="18" spans="2:34" ht="14.45" x14ac:dyDescent="0.3">
      <c r="B18" s="72">
        <v>4</v>
      </c>
      <c r="C18" s="73">
        <v>1.7</v>
      </c>
      <c r="D18" s="73">
        <v>79.3</v>
      </c>
      <c r="E18" s="115">
        <f t="shared" si="5"/>
        <v>77.599999999999994</v>
      </c>
      <c r="F18" s="13" t="s">
        <v>56</v>
      </c>
      <c r="G18" s="49"/>
      <c r="H18" s="75"/>
      <c r="I18" s="75"/>
      <c r="J18" s="75"/>
      <c r="K18" s="75"/>
      <c r="L18" s="75"/>
      <c r="M18" s="75"/>
      <c r="N18" s="75"/>
      <c r="Z18" s="102">
        <v>16</v>
      </c>
      <c r="AA18" s="66">
        <f t="shared" si="0"/>
        <v>31.2</v>
      </c>
      <c r="AB18" s="62">
        <f t="shared" si="3"/>
        <v>31.2</v>
      </c>
      <c r="AC18" s="66">
        <f t="shared" si="4"/>
        <v>265</v>
      </c>
      <c r="AD18" s="63">
        <f t="shared" si="1"/>
        <v>0.38972453698997334</v>
      </c>
      <c r="AE18" s="76">
        <v>100</v>
      </c>
      <c r="AF18" s="63">
        <f t="shared" ref="AF18:AF26" si="6">+AE18/100*AD$18</f>
        <v>0.38972453698997334</v>
      </c>
      <c r="AG18" s="65">
        <f t="shared" si="2"/>
        <v>38.972453698997334</v>
      </c>
      <c r="AH18"/>
    </row>
    <row r="19" spans="2:34" ht="14.45" x14ac:dyDescent="0.3">
      <c r="B19" s="72">
        <v>5</v>
      </c>
      <c r="C19" s="73">
        <v>1.7</v>
      </c>
      <c r="D19" s="73">
        <v>82.7</v>
      </c>
      <c r="E19" s="115">
        <f t="shared" si="5"/>
        <v>81</v>
      </c>
      <c r="G19" s="17"/>
      <c r="H19" s="34"/>
      <c r="I19" s="34"/>
      <c r="J19" s="34"/>
      <c r="K19" s="78"/>
      <c r="L19" s="78"/>
      <c r="M19" s="78"/>
      <c r="N19" s="78"/>
      <c r="Z19" s="102">
        <v>8</v>
      </c>
      <c r="AA19" s="64"/>
      <c r="AB19" s="64"/>
      <c r="AC19" s="64"/>
      <c r="AD19" s="64"/>
      <c r="AE19" s="76">
        <v>78</v>
      </c>
      <c r="AF19" s="63">
        <f t="shared" si="6"/>
        <v>0.3039851388521792</v>
      </c>
      <c r="AG19" s="65">
        <f t="shared" ref="AG19:AG26" si="7">+AF19*100</f>
        <v>30.39851388521792</v>
      </c>
      <c r="AH19"/>
    </row>
    <row r="20" spans="2:34" ht="14.45" x14ac:dyDescent="0.3">
      <c r="B20" s="72">
        <v>6</v>
      </c>
      <c r="C20" s="73">
        <v>1.7</v>
      </c>
      <c r="D20" s="73">
        <v>84.2</v>
      </c>
      <c r="E20" s="115">
        <f t="shared" si="5"/>
        <v>82.5</v>
      </c>
      <c r="G20" s="17"/>
      <c r="H20" s="34"/>
      <c r="I20" s="34"/>
      <c r="J20" s="34"/>
      <c r="K20" s="78"/>
      <c r="L20" s="78"/>
      <c r="M20" s="78"/>
      <c r="N20" s="78"/>
      <c r="Z20" s="102">
        <v>4</v>
      </c>
      <c r="AA20" s="64"/>
      <c r="AB20" s="64"/>
      <c r="AC20" s="64"/>
      <c r="AD20" s="64"/>
      <c r="AE20" s="76">
        <v>60</v>
      </c>
      <c r="AF20" s="63">
        <f t="shared" si="6"/>
        <v>0.23383472219398399</v>
      </c>
      <c r="AG20" s="65">
        <f t="shared" si="7"/>
        <v>23.383472219398399</v>
      </c>
      <c r="AH20"/>
    </row>
    <row r="21" spans="2:34" ht="14.45" x14ac:dyDescent="0.3">
      <c r="B21" s="72">
        <v>7</v>
      </c>
      <c r="C21" s="73"/>
      <c r="D21" s="73"/>
      <c r="E21" s="116">
        <f t="shared" si="5"/>
        <v>0</v>
      </c>
      <c r="G21" s="17"/>
      <c r="H21" s="34"/>
      <c r="I21" s="34"/>
      <c r="J21" s="34"/>
      <c r="K21" s="78"/>
      <c r="L21" s="78"/>
      <c r="M21" s="78"/>
      <c r="N21" s="78"/>
      <c r="Z21" s="102">
        <v>2</v>
      </c>
      <c r="AA21" s="64"/>
      <c r="AB21" s="64"/>
      <c r="AC21" s="64"/>
      <c r="AD21" s="64"/>
      <c r="AE21" s="76">
        <v>44</v>
      </c>
      <c r="AF21" s="63">
        <f t="shared" si="6"/>
        <v>0.17147879627558826</v>
      </c>
      <c r="AG21" s="65">
        <f t="shared" si="7"/>
        <v>17.147879627558826</v>
      </c>
      <c r="AH21"/>
    </row>
    <row r="22" spans="2:34" ht="14.45" x14ac:dyDescent="0.3">
      <c r="B22" s="72">
        <v>8</v>
      </c>
      <c r="C22" s="73"/>
      <c r="D22" s="73"/>
      <c r="E22" s="116"/>
      <c r="G22" s="17"/>
      <c r="H22" s="34"/>
      <c r="I22" s="34"/>
      <c r="J22" s="34"/>
      <c r="K22" s="78"/>
      <c r="L22" s="78"/>
      <c r="M22" s="78"/>
      <c r="N22" s="78"/>
      <c r="Z22" s="102">
        <v>1</v>
      </c>
      <c r="AA22" s="64"/>
      <c r="AB22" s="64"/>
      <c r="AC22" s="64"/>
      <c r="AD22" s="64"/>
      <c r="AE22" s="76">
        <v>35</v>
      </c>
      <c r="AF22" s="63">
        <f t="shared" si="6"/>
        <v>0.13640358794649066</v>
      </c>
      <c r="AG22" s="65">
        <f t="shared" si="7"/>
        <v>13.640358794649066</v>
      </c>
      <c r="AH22"/>
    </row>
    <row r="23" spans="2:34" ht="14.45" x14ac:dyDescent="0.3">
      <c r="B23" s="72">
        <v>9</v>
      </c>
      <c r="C23" s="73"/>
      <c r="D23" s="73"/>
      <c r="E23" s="116"/>
      <c r="G23" s="17"/>
      <c r="H23" s="34"/>
      <c r="I23" s="34"/>
      <c r="J23" s="34"/>
      <c r="K23" s="78"/>
      <c r="L23" s="78"/>
      <c r="M23" s="78"/>
      <c r="N23" s="78"/>
      <c r="Z23" s="102">
        <v>0.5</v>
      </c>
      <c r="AA23" s="64"/>
      <c r="AB23" s="64"/>
      <c r="AC23" s="64"/>
      <c r="AD23" s="64"/>
      <c r="AE23" s="76">
        <v>32</v>
      </c>
      <c r="AF23" s="63">
        <f t="shared" si="6"/>
        <v>0.12471185183679147</v>
      </c>
      <c r="AG23" s="65">
        <f t="shared" si="7"/>
        <v>12.471185183679147</v>
      </c>
      <c r="AH23"/>
    </row>
    <row r="24" spans="2:34" ht="14.45" x14ac:dyDescent="0.3">
      <c r="B24" s="72">
        <v>10</v>
      </c>
      <c r="C24" s="73"/>
      <c r="D24" s="73"/>
      <c r="E24" s="116"/>
      <c r="G24" s="17"/>
      <c r="H24" s="34"/>
      <c r="I24" s="34"/>
      <c r="J24" s="34"/>
      <c r="K24" s="78"/>
      <c r="L24" s="78"/>
      <c r="M24" s="78"/>
      <c r="N24" s="78"/>
      <c r="Z24" s="104">
        <v>0.25</v>
      </c>
      <c r="AA24" s="64"/>
      <c r="AB24" s="64"/>
      <c r="AC24" s="64"/>
      <c r="AD24" s="64"/>
      <c r="AE24" s="76">
        <v>17</v>
      </c>
      <c r="AF24" s="63">
        <f t="shared" si="6"/>
        <v>6.625317128829547E-2</v>
      </c>
      <c r="AG24" s="65">
        <f t="shared" si="7"/>
        <v>6.6253171288295469</v>
      </c>
      <c r="AH24"/>
    </row>
    <row r="25" spans="2:34" ht="14.45" x14ac:dyDescent="0.3">
      <c r="B25" s="72" t="s">
        <v>57</v>
      </c>
      <c r="C25" s="73">
        <f>SUM(C15:C24)</f>
        <v>10.199999999999999</v>
      </c>
      <c r="D25" s="73">
        <f>SUM(D15:D24)</f>
        <v>469.5</v>
      </c>
      <c r="E25" s="115">
        <f>SUM(E15:E24)</f>
        <v>459.29999999999995</v>
      </c>
      <c r="G25" s="17"/>
      <c r="H25" s="34"/>
      <c r="I25" s="34"/>
      <c r="J25" s="34"/>
      <c r="K25" s="78"/>
      <c r="L25" s="78"/>
      <c r="M25" s="78"/>
      <c r="N25" s="78"/>
      <c r="Z25" s="104">
        <v>0.125</v>
      </c>
      <c r="AA25" s="64"/>
      <c r="AB25" s="64"/>
      <c r="AC25" s="64"/>
      <c r="AD25" s="64"/>
      <c r="AE25" s="76">
        <v>7</v>
      </c>
      <c r="AF25" s="105">
        <f t="shared" si="6"/>
        <v>2.7280717589298138E-2</v>
      </c>
      <c r="AG25" s="65">
        <f t="shared" si="7"/>
        <v>2.7280717589298136</v>
      </c>
      <c r="AH25"/>
    </row>
    <row r="26" spans="2:34" ht="14.45" x14ac:dyDescent="0.3">
      <c r="B26" s="17"/>
      <c r="C26" s="8"/>
      <c r="D26" s="8"/>
      <c r="E26" s="8"/>
      <c r="G26" s="119"/>
      <c r="H26" s="120"/>
      <c r="I26" s="120"/>
      <c r="J26" s="80"/>
      <c r="K26" s="8"/>
      <c r="L26" s="8"/>
      <c r="M26" s="8"/>
      <c r="N26" s="8"/>
      <c r="Z26" s="104">
        <v>6.25E-2</v>
      </c>
      <c r="AA26" s="62"/>
      <c r="AB26" s="62"/>
      <c r="AC26" s="62"/>
      <c r="AD26" s="62"/>
      <c r="AE26" s="76">
        <v>3</v>
      </c>
      <c r="AF26" s="105">
        <f t="shared" si="6"/>
        <v>1.1691736109699199E-2</v>
      </c>
      <c r="AG26" s="65">
        <f t="shared" si="7"/>
        <v>1.1691736109699198</v>
      </c>
      <c r="AH26"/>
    </row>
    <row r="27" spans="2:34" ht="17.45" x14ac:dyDescent="0.3">
      <c r="B27" s="159" t="s">
        <v>58</v>
      </c>
      <c r="C27" s="159"/>
      <c r="D27" s="159"/>
      <c r="E27" s="159"/>
      <c r="F27" s="159"/>
      <c r="G27" s="159"/>
      <c r="H27" s="159"/>
      <c r="I27" s="159"/>
      <c r="J27" s="75"/>
      <c r="K27" s="8"/>
      <c r="L27" s="8"/>
      <c r="M27" s="8"/>
      <c r="N27" s="8"/>
      <c r="AA27" s="56">
        <f>+H42</f>
        <v>191.5</v>
      </c>
      <c r="AB27" s="106">
        <f>(AD3/H44)*AA27</f>
        <v>169.23014042372881</v>
      </c>
      <c r="AC27" s="56"/>
      <c r="AH27"/>
    </row>
    <row r="28" spans="2:34" ht="14.45" x14ac:dyDescent="0.3">
      <c r="B28" s="81" t="s">
        <v>47</v>
      </c>
      <c r="C28" s="81" t="s">
        <v>48</v>
      </c>
      <c r="D28" s="81" t="s">
        <v>49</v>
      </c>
      <c r="E28" s="81" t="s">
        <v>50</v>
      </c>
      <c r="F28" s="81" t="s">
        <v>59</v>
      </c>
      <c r="G28" s="81" t="s">
        <v>60</v>
      </c>
      <c r="H28" s="81" t="s">
        <v>61</v>
      </c>
      <c r="I28" s="81" t="s">
        <v>62</v>
      </c>
      <c r="J28" s="82"/>
      <c r="AA28" s="1">
        <f>SUM(AA9:AA27)</f>
        <v>456.5</v>
      </c>
      <c r="AB28" s="1">
        <f>SUM(AB9:AB27)</f>
        <v>434.23014042372881</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7" t="s">
        <v>88</v>
      </c>
      <c r="AA30" s="107" t="s">
        <v>11</v>
      </c>
      <c r="AH30"/>
    </row>
    <row r="31" spans="2:34" ht="14.45" x14ac:dyDescent="0.3">
      <c r="B31" s="77" t="s">
        <v>74</v>
      </c>
      <c r="C31" s="71"/>
      <c r="D31" s="61"/>
      <c r="E31" s="61"/>
      <c r="F31" s="61"/>
      <c r="G31" s="61"/>
      <c r="H31" s="83">
        <f>F31-G31</f>
        <v>0</v>
      </c>
      <c r="I31" s="83">
        <f>H31</f>
        <v>0</v>
      </c>
      <c r="J31" s="85"/>
      <c r="Z31" s="107">
        <v>16</v>
      </c>
      <c r="AA31" s="108">
        <f ca="1">10^(FORECAST(Z31,LOG(OFFSET(Z$9:Z$26,MATCH(Z31,AG$9:AG$26,-1)-1,0,2)),OFFSET(AG$9:AG$26,MATCH(Z31,AG$9:AG$26,-1)-1,0,2)))</f>
        <v>1.5940950081700873</v>
      </c>
      <c r="AH31"/>
    </row>
    <row r="32" spans="2:34" ht="14.45" x14ac:dyDescent="0.3">
      <c r="B32" s="77" t="s">
        <v>75</v>
      </c>
      <c r="C32" s="73"/>
      <c r="D32" s="61"/>
      <c r="E32" s="61"/>
      <c r="F32" s="61"/>
      <c r="G32" s="61"/>
      <c r="H32" s="117">
        <f>+F32-C32</f>
        <v>0</v>
      </c>
      <c r="I32" s="117">
        <f>H32+I31</f>
        <v>0</v>
      </c>
      <c r="J32" s="85"/>
      <c r="Z32" s="107">
        <v>50</v>
      </c>
      <c r="AA32" s="108">
        <f ca="1">10^(FORECAST(Z32,LOG(OFFSET(Z$9:Z$26,MATCH(Z32,AG$9:AG$26,-1)-1,0,2)),OFFSET(AG$9:AG$26,MATCH(Z32,AG$9:AG$26,-1)-1,0,2)))</f>
        <v>26.489782258484169</v>
      </c>
      <c r="AH32"/>
    </row>
    <row r="33" spans="2:34" ht="15" x14ac:dyDescent="0.25">
      <c r="B33" s="77" t="s">
        <v>76</v>
      </c>
      <c r="C33" s="73"/>
      <c r="D33" s="61"/>
      <c r="E33" s="61"/>
      <c r="F33" s="61"/>
      <c r="G33" s="61"/>
      <c r="H33" s="117">
        <f t="shared" ref="H33:H40" si="8">+F33-C33</f>
        <v>0</v>
      </c>
      <c r="I33" s="117">
        <f t="shared" ref="I33:I34" si="9">H33+I32</f>
        <v>0</v>
      </c>
      <c r="J33" s="85"/>
      <c r="Z33" s="107">
        <v>84</v>
      </c>
      <c r="AA33" s="108">
        <f ca="1">10^(FORECAST(Z33,LOG(OFFSET(Z$9:Z$26,MATCH(Z33,AG$9:AG$26,-1)-1,0,2)),OFFSET(AG$9:AG$26,MATCH(Z33,AG$9:AG$26,-1)-1,0,2)))</f>
        <v>87.381595549540833</v>
      </c>
      <c r="AH33"/>
    </row>
    <row r="34" spans="2:34" ht="15" x14ac:dyDescent="0.25">
      <c r="B34" s="77" t="s">
        <v>77</v>
      </c>
      <c r="C34" s="73">
        <v>1.7</v>
      </c>
      <c r="D34" s="87"/>
      <c r="E34" s="87"/>
      <c r="F34" s="87">
        <v>16.100000000000001</v>
      </c>
      <c r="G34" s="73"/>
      <c r="H34" s="117">
        <f t="shared" si="8"/>
        <v>14.400000000000002</v>
      </c>
      <c r="I34" s="117">
        <f t="shared" si="9"/>
        <v>14.400000000000002</v>
      </c>
      <c r="J34" s="85"/>
      <c r="Z34" s="107">
        <v>90</v>
      </c>
      <c r="AA34" s="108">
        <f ca="1">10^(FORECAST(Z34,LOG(OFFSET(Z$9:Z$26,MATCH(Z34,AG$9:AG$26,-1)-1,0,2)),OFFSET(AG$9:AG$26,MATCH(Z34,AG$9:AG$26,-1)-1,0,2)))</f>
        <v>105.3919329790497</v>
      </c>
      <c r="AC34"/>
      <c r="AD34"/>
      <c r="AE34"/>
      <c r="AF34"/>
      <c r="AG34"/>
      <c r="AH34"/>
    </row>
    <row r="35" spans="2:34" ht="15" x14ac:dyDescent="0.25">
      <c r="B35" s="88" t="s">
        <v>78</v>
      </c>
      <c r="C35" s="73">
        <v>1.7</v>
      </c>
      <c r="D35" s="73"/>
      <c r="E35" s="73"/>
      <c r="F35" s="73">
        <v>54.3</v>
      </c>
      <c r="G35" s="73"/>
      <c r="H35" s="117">
        <f t="shared" si="8"/>
        <v>52.599999999999994</v>
      </c>
      <c r="I35" s="117">
        <f>I34+H35</f>
        <v>67</v>
      </c>
      <c r="J35" s="8"/>
      <c r="Z35" s="109"/>
      <c r="AA35" s="109"/>
      <c r="AB35"/>
      <c r="AC35"/>
      <c r="AD35"/>
      <c r="AE35"/>
      <c r="AF35"/>
      <c r="AG35"/>
      <c r="AH35"/>
    </row>
    <row r="36" spans="2:34" ht="15" x14ac:dyDescent="0.25">
      <c r="B36" s="88" t="s">
        <v>79</v>
      </c>
      <c r="C36" s="73">
        <v>1.7</v>
      </c>
      <c r="D36" s="73"/>
      <c r="E36" s="73"/>
      <c r="F36" s="73">
        <v>30.3</v>
      </c>
      <c r="G36" s="73"/>
      <c r="H36" s="117">
        <f t="shared" si="8"/>
        <v>28.6</v>
      </c>
      <c r="I36" s="117">
        <f t="shared" ref="I36:I40" si="10">I35+H36</f>
        <v>95.6</v>
      </c>
      <c r="J36" s="8"/>
      <c r="Z36" s="107" t="s">
        <v>89</v>
      </c>
      <c r="AA36" s="108">
        <f ca="1">0.5*(AA33/AA32+AA32/AA31)</f>
        <v>9.9580665844064189</v>
      </c>
      <c r="AB36"/>
      <c r="AC36"/>
      <c r="AD36"/>
      <c r="AE36"/>
      <c r="AF36"/>
      <c r="AG36"/>
      <c r="AH36"/>
    </row>
    <row r="37" spans="2:34" ht="15" x14ac:dyDescent="0.25">
      <c r="B37" s="73">
        <v>45</v>
      </c>
      <c r="C37" s="73">
        <v>1.7</v>
      </c>
      <c r="D37" s="73"/>
      <c r="E37" s="73"/>
      <c r="F37" s="73">
        <v>55.7</v>
      </c>
      <c r="G37" s="73"/>
      <c r="H37" s="117">
        <f t="shared" si="8"/>
        <v>54</v>
      </c>
      <c r="I37" s="117">
        <f t="shared" si="10"/>
        <v>149.6</v>
      </c>
      <c r="J37" s="8"/>
      <c r="Z37" s="109" t="s">
        <v>90</v>
      </c>
      <c r="AA37" s="108">
        <f>100-AG21</f>
        <v>82.852120372441178</v>
      </c>
      <c r="AB37"/>
      <c r="AC37"/>
      <c r="AD37"/>
      <c r="AE37"/>
      <c r="AF37"/>
      <c r="AG37"/>
      <c r="AH37"/>
    </row>
    <row r="38" spans="2:34" ht="15" x14ac:dyDescent="0.25">
      <c r="B38" s="73">
        <v>32</v>
      </c>
      <c r="C38" s="73">
        <v>1.7</v>
      </c>
      <c r="D38" s="73"/>
      <c r="E38" s="73"/>
      <c r="F38" s="73">
        <v>49.9</v>
      </c>
      <c r="G38" s="73"/>
      <c r="H38" s="117">
        <f t="shared" si="8"/>
        <v>48.199999999999996</v>
      </c>
      <c r="I38" s="117">
        <f t="shared" si="10"/>
        <v>197.79999999999998</v>
      </c>
      <c r="J38" s="8"/>
      <c r="Z38" s="109" t="s">
        <v>91</v>
      </c>
      <c r="AA38" s="108">
        <f>AG21-AG26</f>
        <v>15.978706016588905</v>
      </c>
      <c r="AB38"/>
      <c r="AC38"/>
      <c r="AD38"/>
      <c r="AE38"/>
      <c r="AF38"/>
      <c r="AG38"/>
      <c r="AH38"/>
    </row>
    <row r="39" spans="2:34" ht="15" x14ac:dyDescent="0.25">
      <c r="B39" s="73">
        <v>22.5</v>
      </c>
      <c r="C39" s="73">
        <v>1.7</v>
      </c>
      <c r="D39" s="73"/>
      <c r="E39" s="73"/>
      <c r="F39" s="73">
        <v>37.700000000000003</v>
      </c>
      <c r="G39" s="73"/>
      <c r="H39" s="117">
        <f t="shared" si="8"/>
        <v>36</v>
      </c>
      <c r="I39" s="117">
        <f t="shared" si="10"/>
        <v>233.79999999999998</v>
      </c>
      <c r="J39" s="8"/>
      <c r="Z39" s="107" t="s">
        <v>92</v>
      </c>
      <c r="AA39" s="108">
        <f>AG26</f>
        <v>1.1691736109699198</v>
      </c>
      <c r="AB39"/>
      <c r="AC39"/>
      <c r="AD39"/>
      <c r="AE39"/>
      <c r="AF39"/>
      <c r="AG39"/>
      <c r="AH39"/>
    </row>
    <row r="40" spans="2:34" ht="15" x14ac:dyDescent="0.25">
      <c r="B40" s="73">
        <v>16</v>
      </c>
      <c r="C40" s="73">
        <v>1.7</v>
      </c>
      <c r="D40" s="73"/>
      <c r="E40" s="73"/>
      <c r="F40" s="73">
        <v>32.9</v>
      </c>
      <c r="G40" s="73"/>
      <c r="H40" s="117">
        <f t="shared" si="8"/>
        <v>31.2</v>
      </c>
      <c r="I40" s="117">
        <f t="shared" si="10"/>
        <v>265</v>
      </c>
      <c r="J40" s="8"/>
      <c r="Z40"/>
      <c r="AA40"/>
      <c r="AB40"/>
      <c r="AC40"/>
      <c r="AD40"/>
      <c r="AE40"/>
      <c r="AF40"/>
      <c r="AG40"/>
      <c r="AH40"/>
    </row>
    <row r="41" spans="2:34" ht="15" x14ac:dyDescent="0.25">
      <c r="B41" s="73">
        <v>8</v>
      </c>
      <c r="C41" s="73"/>
      <c r="D41" s="73"/>
      <c r="E41" s="73"/>
      <c r="F41" s="73"/>
      <c r="G41" s="73"/>
      <c r="H41" s="117"/>
      <c r="I41" s="117"/>
      <c r="J41" s="8"/>
      <c r="Z41"/>
      <c r="AA41"/>
      <c r="AB41"/>
      <c r="AC41"/>
      <c r="AD41"/>
      <c r="AE41"/>
      <c r="AF41"/>
      <c r="AG41"/>
      <c r="AH41"/>
    </row>
    <row r="42" spans="2:34" ht="15" x14ac:dyDescent="0.25">
      <c r="B42" s="77" t="s">
        <v>123</v>
      </c>
      <c r="C42" s="73">
        <v>67.400000000000006</v>
      </c>
      <c r="D42" s="73"/>
      <c r="E42" s="73"/>
      <c r="F42" s="73">
        <v>258.89999999999998</v>
      </c>
      <c r="G42" s="73"/>
      <c r="H42" s="117">
        <v>191.5</v>
      </c>
      <c r="I42" s="117">
        <f>I40+H42</f>
        <v>456.5</v>
      </c>
      <c r="J42" s="8"/>
      <c r="Z42"/>
      <c r="AA42"/>
      <c r="AB42"/>
      <c r="AC42"/>
      <c r="AD42"/>
      <c r="AE42"/>
      <c r="AF42"/>
      <c r="AG42"/>
      <c r="AH42"/>
    </row>
    <row r="43" spans="2:34" ht="15" x14ac:dyDescent="0.25">
      <c r="B43" s="77" t="s">
        <v>57</v>
      </c>
      <c r="C43" s="73">
        <f>SUM(C32:C42)</f>
        <v>79.300000000000011</v>
      </c>
      <c r="D43" s="73"/>
      <c r="E43" s="62"/>
      <c r="F43" s="73">
        <f>SUM(F32:F42)</f>
        <v>535.79999999999995</v>
      </c>
      <c r="G43" s="73"/>
      <c r="H43" s="73">
        <f>SUM(H32:H42)</f>
        <v>456.5</v>
      </c>
      <c r="I43" s="115">
        <f>I42</f>
        <v>456.5</v>
      </c>
      <c r="J43" s="8"/>
      <c r="Z43"/>
      <c r="AA43"/>
      <c r="AB43"/>
      <c r="AC43"/>
      <c r="AD43"/>
      <c r="AE43"/>
      <c r="AF43"/>
      <c r="AG43"/>
      <c r="AH43"/>
    </row>
    <row r="44" spans="2:34" ht="29.25" x14ac:dyDescent="0.25">
      <c r="B44" s="89" t="s">
        <v>124</v>
      </c>
      <c r="C44" s="90">
        <v>23.6</v>
      </c>
      <c r="D44" s="146"/>
      <c r="E44" s="91"/>
      <c r="F44" s="92"/>
      <c r="G44" s="93"/>
      <c r="H44" s="27">
        <v>23.6</v>
      </c>
      <c r="I44" s="118"/>
      <c r="J44" s="8"/>
      <c r="Z44"/>
      <c r="AA44"/>
      <c r="AB44"/>
      <c r="AC44"/>
      <c r="AD44"/>
      <c r="AE44"/>
      <c r="AF44"/>
      <c r="AG44"/>
      <c r="AH44"/>
    </row>
    <row r="45" spans="2:34" ht="15" x14ac:dyDescent="0.25">
      <c r="B45" s="94" t="s">
        <v>80</v>
      </c>
      <c r="J45" s="8"/>
      <c r="Z45"/>
      <c r="AA45"/>
      <c r="AB45"/>
      <c r="AC45"/>
      <c r="AD45"/>
      <c r="AE45"/>
      <c r="AF45"/>
      <c r="AG45"/>
      <c r="AH45"/>
    </row>
    <row r="46" spans="2:34" ht="15" x14ac:dyDescent="0.25">
      <c r="B46" s="94"/>
      <c r="J46" s="8"/>
      <c r="Z46"/>
      <c r="AA46"/>
      <c r="AB46"/>
      <c r="AC46"/>
      <c r="AD46"/>
      <c r="AE46"/>
      <c r="AF46"/>
      <c r="AG46"/>
      <c r="AH46"/>
    </row>
    <row r="47" spans="2:34" ht="15.75" x14ac:dyDescent="0.25">
      <c r="B47" s="160" t="s">
        <v>81</v>
      </c>
      <c r="C47" s="160"/>
      <c r="D47" s="160"/>
      <c r="E47" s="95" t="s">
        <v>136</v>
      </c>
      <c r="F47" s="74"/>
      <c r="G47" s="96" t="s">
        <v>82</v>
      </c>
      <c r="H47" s="97">
        <f>+(E25-H43)/E25</f>
        <v>6.0962333986500214E-3</v>
      </c>
      <c r="I47" s="95"/>
      <c r="J47" s="8"/>
      <c r="Q47" s="98"/>
      <c r="Z47"/>
      <c r="AA47"/>
      <c r="AB47"/>
      <c r="AC47"/>
      <c r="AD47"/>
      <c r="AE47"/>
      <c r="AF47"/>
      <c r="AG47"/>
      <c r="AH47"/>
    </row>
    <row r="48" spans="2:34" ht="15" x14ac:dyDescent="0.25">
      <c r="B48" s="161" t="s">
        <v>83</v>
      </c>
      <c r="C48" s="161"/>
      <c r="D48" s="161"/>
      <c r="E48" s="96">
        <v>459.3</v>
      </c>
      <c r="Z48"/>
      <c r="AA48"/>
      <c r="AB48"/>
      <c r="AC48"/>
      <c r="AD48"/>
      <c r="AE48"/>
      <c r="AF48"/>
      <c r="AG48"/>
      <c r="AH48"/>
    </row>
    <row r="49" spans="2:34" ht="15" x14ac:dyDescent="0.25">
      <c r="B49" s="79"/>
      <c r="C49" s="79"/>
      <c r="D49" s="79"/>
      <c r="Z49"/>
      <c r="AA49"/>
      <c r="AB49"/>
      <c r="AC49"/>
      <c r="AD49"/>
      <c r="AE49"/>
      <c r="AF49"/>
      <c r="AG49"/>
      <c r="AH49"/>
    </row>
    <row r="50" spans="2:34" ht="15" x14ac:dyDescent="0.25">
      <c r="B50" s="162" t="s">
        <v>84</v>
      </c>
      <c r="C50" s="162"/>
      <c r="D50" s="162"/>
      <c r="E50" s="162"/>
      <c r="F50" s="162"/>
      <c r="G50" s="162"/>
      <c r="H50" s="162"/>
      <c r="I50" s="162"/>
      <c r="J50" s="99"/>
      <c r="Z50"/>
      <c r="AA50"/>
      <c r="AB50"/>
      <c r="AC50"/>
      <c r="AD50"/>
      <c r="AE50"/>
      <c r="AF50"/>
      <c r="AG50"/>
      <c r="AH50"/>
    </row>
    <row r="51" spans="2:34" ht="15" x14ac:dyDescent="0.25">
      <c r="B51" s="162"/>
      <c r="C51" s="162"/>
      <c r="D51" s="162"/>
      <c r="E51" s="162"/>
      <c r="F51" s="162"/>
      <c r="G51" s="162"/>
      <c r="H51" s="162"/>
      <c r="I51" s="162"/>
      <c r="J51" s="99"/>
      <c r="Z51"/>
      <c r="AA51"/>
      <c r="AB51"/>
      <c r="AC51"/>
      <c r="AD51"/>
      <c r="AE51"/>
      <c r="AF51"/>
      <c r="AG51"/>
      <c r="AH51"/>
    </row>
    <row r="52" spans="2:34" ht="15" x14ac:dyDescent="0.25">
      <c r="B52" s="6" t="s">
        <v>85</v>
      </c>
      <c r="C52" s="6" t="s">
        <v>26</v>
      </c>
      <c r="E52" s="1" t="s">
        <v>86</v>
      </c>
      <c r="G52" s="100">
        <v>660</v>
      </c>
      <c r="H52" s="48" t="s">
        <v>87</v>
      </c>
      <c r="I52" s="48" t="s">
        <v>137</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6" workbookViewId="0">
      <selection activeCell="S11" sqref="S11"/>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1.28515625" style="8" bestFit="1"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3" t="s">
        <v>125</v>
      </c>
      <c r="C2" s="163"/>
      <c r="D2" s="163"/>
      <c r="E2" s="163"/>
      <c r="F2" s="163"/>
      <c r="G2" s="163"/>
      <c r="H2" s="163"/>
      <c r="I2" s="163"/>
      <c r="J2" s="163"/>
      <c r="K2" s="163"/>
      <c r="L2" s="163"/>
      <c r="M2" s="163"/>
      <c r="N2" s="163"/>
      <c r="O2" s="163"/>
      <c r="P2" s="163"/>
      <c r="Q2" s="163"/>
      <c r="R2" s="163"/>
      <c r="S2" s="163"/>
      <c r="T2" s="163"/>
      <c r="U2" s="163"/>
      <c r="V2" s="163"/>
      <c r="Y2" s="163" t="s">
        <v>0</v>
      </c>
      <c r="Z2" s="163"/>
      <c r="AA2" s="163"/>
      <c r="AB2" s="163"/>
      <c r="AC2" s="163"/>
      <c r="AD2" s="163"/>
      <c r="AE2" s="163"/>
      <c r="AF2" s="163"/>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c r="E4" s="6" t="s">
        <v>132</v>
      </c>
      <c r="F4" s="6"/>
      <c r="G4" s="6"/>
      <c r="J4" s="1"/>
      <c r="K4" s="6" t="s">
        <v>2</v>
      </c>
      <c r="L4" s="6" t="s">
        <v>135</v>
      </c>
      <c r="M4" s="6"/>
      <c r="N4" s="6"/>
      <c r="O4" s="6"/>
      <c r="P4" s="6"/>
      <c r="Q4" s="6"/>
      <c r="R4" s="6"/>
      <c r="S4" s="6"/>
      <c r="T4" s="6"/>
      <c r="Y4" s="8" t="s">
        <v>1</v>
      </c>
      <c r="Z4" s="6" t="s">
        <v>132</v>
      </c>
      <c r="AA4" s="6"/>
      <c r="AB4" s="1" t="s">
        <v>3</v>
      </c>
      <c r="AC4" s="6"/>
      <c r="AD4" s="6"/>
      <c r="AE4" s="6"/>
    </row>
    <row r="5" spans="2:33" ht="13.9" x14ac:dyDescent="0.25">
      <c r="B5" s="9" t="s">
        <v>4</v>
      </c>
      <c r="C5" s="9"/>
      <c r="D5" s="9">
        <v>185.4</v>
      </c>
      <c r="E5" s="9"/>
      <c r="F5" s="9"/>
      <c r="G5" s="9"/>
      <c r="J5" s="1"/>
      <c r="K5" s="9" t="s">
        <v>7</v>
      </c>
      <c r="L5" s="9"/>
      <c r="M5" s="9" t="s">
        <v>139</v>
      </c>
      <c r="N5" s="9"/>
      <c r="O5" s="9"/>
      <c r="P5" s="9"/>
      <c r="Q5" s="9"/>
      <c r="R5" s="9"/>
      <c r="S5" s="9"/>
      <c r="T5" s="9"/>
      <c r="Y5" s="8" t="s">
        <v>4</v>
      </c>
      <c r="Z5" s="9">
        <v>185.4</v>
      </c>
      <c r="AA5" s="9"/>
      <c r="AB5" s="1" t="s">
        <v>5</v>
      </c>
      <c r="AC5" s="9"/>
      <c r="AD5" s="9"/>
      <c r="AE5" s="9"/>
    </row>
    <row r="6" spans="2:33" ht="13.9" x14ac:dyDescent="0.25">
      <c r="B6" s="9" t="s">
        <v>6</v>
      </c>
      <c r="C6" s="9"/>
      <c r="D6" s="10">
        <v>41840</v>
      </c>
      <c r="E6" s="11"/>
      <c r="F6" s="9"/>
      <c r="G6" s="9"/>
      <c r="J6" s="1"/>
      <c r="K6" s="9" t="s">
        <v>130</v>
      </c>
      <c r="L6" s="9"/>
      <c r="M6" s="158">
        <v>3225564.8</v>
      </c>
      <c r="N6" s="9"/>
      <c r="O6" s="9"/>
      <c r="P6" s="9"/>
      <c r="Q6" s="9"/>
      <c r="R6" s="9"/>
      <c r="S6" s="9"/>
      <c r="T6" s="9"/>
      <c r="U6" s="9"/>
      <c r="V6" s="9"/>
      <c r="Y6" s="8" t="s">
        <v>6</v>
      </c>
      <c r="Z6" s="10">
        <v>41840</v>
      </c>
      <c r="AA6" s="11"/>
      <c r="AB6" s="8" t="s">
        <v>8</v>
      </c>
      <c r="AC6" s="9"/>
      <c r="AD6" s="9"/>
      <c r="AE6" s="12"/>
    </row>
    <row r="7" spans="2:33" ht="13.9" x14ac:dyDescent="0.25">
      <c r="B7" s="9" t="s">
        <v>8</v>
      </c>
      <c r="C7" s="9"/>
      <c r="D7" s="9" t="s">
        <v>133</v>
      </c>
      <c r="E7" s="9"/>
      <c r="F7" s="9"/>
      <c r="G7" s="9"/>
      <c r="J7" s="13"/>
      <c r="K7" s="14" t="s">
        <v>131</v>
      </c>
      <c r="L7" s="14"/>
      <c r="M7" s="158">
        <v>1876380.8</v>
      </c>
      <c r="N7" s="16"/>
      <c r="O7" s="16"/>
      <c r="P7" s="16"/>
      <c r="Q7" s="9"/>
      <c r="R7" s="9"/>
      <c r="S7" s="9"/>
      <c r="T7" s="9"/>
      <c r="U7" s="9"/>
      <c r="V7" s="9"/>
      <c r="Y7" s="8"/>
      <c r="Z7" s="8"/>
      <c r="AA7" s="8"/>
      <c r="AB7" s="8" t="s">
        <v>113</v>
      </c>
      <c r="AC7" s="9"/>
      <c r="AD7" s="9"/>
      <c r="AE7" s="17"/>
    </row>
    <row r="8" spans="2:33" ht="13.9" x14ac:dyDescent="0.25">
      <c r="B8" s="9" t="s">
        <v>127</v>
      </c>
      <c r="C8" s="9"/>
      <c r="D8" s="9" t="s">
        <v>134</v>
      </c>
      <c r="E8" s="9"/>
      <c r="F8" s="9"/>
      <c r="G8" s="9"/>
      <c r="K8" s="9" t="s">
        <v>9</v>
      </c>
      <c r="L8" s="9"/>
      <c r="M8" s="9"/>
      <c r="N8" s="9"/>
      <c r="O8" s="9"/>
      <c r="P8" s="9"/>
      <c r="Q8" s="9"/>
      <c r="R8" s="9"/>
      <c r="S8" s="9"/>
      <c r="T8" s="9"/>
      <c r="U8" s="9"/>
      <c r="V8" s="9"/>
      <c r="Y8" s="8" t="s">
        <v>10</v>
      </c>
      <c r="Z8" s="8"/>
      <c r="AA8" s="8"/>
      <c r="AB8" s="18"/>
      <c r="AC8" s="17"/>
      <c r="AD8" s="17"/>
      <c r="AE8" s="17"/>
    </row>
    <row r="9" spans="2:33" ht="13.9" x14ac:dyDescent="0.25">
      <c r="B9" s="9" t="s">
        <v>128</v>
      </c>
      <c r="C9" s="9"/>
      <c r="D9" s="9"/>
      <c r="E9" s="9"/>
      <c r="F9" s="9"/>
      <c r="G9" s="9" t="s">
        <v>138</v>
      </c>
      <c r="H9" s="157"/>
      <c r="I9" s="1"/>
      <c r="J9" s="1"/>
      <c r="K9" s="9"/>
      <c r="L9" s="9"/>
      <c r="M9" s="9"/>
      <c r="N9" s="9"/>
      <c r="O9" s="9"/>
      <c r="P9" s="9"/>
      <c r="Q9" s="9"/>
      <c r="R9" s="9"/>
      <c r="S9" s="9"/>
      <c r="T9" s="9"/>
      <c r="U9" s="9"/>
      <c r="V9" s="9"/>
      <c r="Y9" s="6"/>
      <c r="Z9" s="6"/>
      <c r="AA9" s="6"/>
      <c r="AB9" s="19"/>
      <c r="AC9" s="20"/>
      <c r="AD9" s="20"/>
      <c r="AE9" s="20"/>
      <c r="AF9" s="6"/>
    </row>
    <row r="10" spans="2:33" ht="13.9" x14ac:dyDescent="0.25">
      <c r="B10" s="6" t="s">
        <v>129</v>
      </c>
      <c r="C10" s="6"/>
      <c r="D10" s="6"/>
      <c r="E10" s="6"/>
      <c r="F10" s="6"/>
      <c r="G10" s="6"/>
      <c r="H10" s="157"/>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70"/>
      <c r="D12" s="170"/>
      <c r="E12" s="170"/>
      <c r="F12" s="170"/>
      <c r="G12" s="170"/>
      <c r="H12" s="170"/>
      <c r="I12" s="22"/>
      <c r="J12" s="22"/>
      <c r="K12" s="22"/>
      <c r="L12" s="22"/>
      <c r="N12" s="21"/>
      <c r="Y12" s="9"/>
      <c r="Z12" s="9"/>
      <c r="AA12" s="9"/>
      <c r="AB12" s="14"/>
      <c r="AC12" s="16"/>
      <c r="AD12" s="16"/>
      <c r="AE12" s="16"/>
      <c r="AF12" s="9"/>
      <c r="AG12" s="1"/>
    </row>
    <row r="13" spans="2:33" s="8" customFormat="1" ht="31.9" thickBot="1" x14ac:dyDescent="0.3">
      <c r="B13" s="23" t="s">
        <v>11</v>
      </c>
      <c r="C13" s="171" t="s">
        <v>12</v>
      </c>
      <c r="D13" s="171"/>
      <c r="E13" s="171"/>
      <c r="F13" s="171"/>
      <c r="G13" s="24" t="s">
        <v>13</v>
      </c>
      <c r="H13" s="24" t="s">
        <v>14</v>
      </c>
      <c r="I13" s="23" t="s">
        <v>11</v>
      </c>
      <c r="J13" s="171" t="s">
        <v>15</v>
      </c>
      <c r="K13" s="171"/>
      <c r="L13" s="171"/>
      <c r="M13" s="171"/>
      <c r="N13" s="24" t="s">
        <v>13</v>
      </c>
      <c r="O13" s="24" t="s">
        <v>14</v>
      </c>
      <c r="P13" s="23" t="s">
        <v>11</v>
      </c>
      <c r="Q13" s="171" t="s">
        <v>16</v>
      </c>
      <c r="R13" s="171"/>
      <c r="S13" s="171"/>
      <c r="T13" s="171"/>
      <c r="U13" s="24" t="s">
        <v>13</v>
      </c>
      <c r="V13" s="24" t="s">
        <v>14</v>
      </c>
      <c r="W13" s="121" t="s">
        <v>17</v>
      </c>
      <c r="X13" s="138"/>
      <c r="Y13" s="9"/>
      <c r="Z13" s="9"/>
      <c r="AA13" s="9"/>
      <c r="AB13" s="14"/>
      <c r="AC13" s="16"/>
      <c r="AD13" s="16"/>
      <c r="AE13" s="16"/>
      <c r="AF13" s="9"/>
      <c r="AG13" s="1"/>
    </row>
    <row r="14" spans="2:33" s="28" customFormat="1" ht="13.9" x14ac:dyDescent="0.25">
      <c r="B14" s="122" t="s">
        <v>18</v>
      </c>
      <c r="C14" s="172"/>
      <c r="D14" s="172"/>
      <c r="E14" s="172"/>
      <c r="F14" s="172"/>
      <c r="G14" s="25">
        <v>1</v>
      </c>
      <c r="H14" s="123">
        <f>G14</f>
        <v>1</v>
      </c>
      <c r="I14" s="124" t="s">
        <v>18</v>
      </c>
      <c r="J14" s="172"/>
      <c r="K14" s="172"/>
      <c r="L14" s="172"/>
      <c r="M14" s="172"/>
      <c r="N14" s="26">
        <v>9</v>
      </c>
      <c r="O14" s="123">
        <f>N14</f>
        <v>9</v>
      </c>
      <c r="P14" s="124" t="s">
        <v>18</v>
      </c>
      <c r="Q14" s="172"/>
      <c r="R14" s="172"/>
      <c r="S14" s="172"/>
      <c r="T14" s="172"/>
      <c r="U14" s="123">
        <v>5</v>
      </c>
      <c r="V14" s="123"/>
      <c r="W14" s="125">
        <f>AVERAGE(V14,O14,H14)</f>
        <v>5</v>
      </c>
      <c r="X14" s="40"/>
      <c r="Y14" s="9"/>
      <c r="Z14" s="9"/>
      <c r="AA14" s="9"/>
      <c r="AB14" s="14"/>
      <c r="AC14" s="16"/>
      <c r="AD14" s="16"/>
      <c r="AE14" s="16"/>
      <c r="AF14" s="9"/>
      <c r="AG14" s="1"/>
    </row>
    <row r="15" spans="2:33" s="28" customFormat="1" ht="13.9" x14ac:dyDescent="0.25">
      <c r="B15" s="126">
        <v>2</v>
      </c>
      <c r="C15" s="173"/>
      <c r="D15" s="173"/>
      <c r="E15" s="173"/>
      <c r="F15" s="173"/>
      <c r="G15" s="29"/>
      <c r="H15" s="127">
        <v>0</v>
      </c>
      <c r="I15" s="128">
        <v>2</v>
      </c>
      <c r="J15" s="173"/>
      <c r="K15" s="173"/>
      <c r="L15" s="173"/>
      <c r="M15" s="173"/>
      <c r="N15" s="30"/>
      <c r="O15" s="127">
        <v>0</v>
      </c>
      <c r="P15" s="128">
        <v>2</v>
      </c>
      <c r="Q15" s="173"/>
      <c r="R15" s="173"/>
      <c r="S15" s="173"/>
      <c r="T15" s="173"/>
      <c r="U15" s="127">
        <v>0</v>
      </c>
      <c r="V15" s="127">
        <v>0</v>
      </c>
      <c r="W15" s="129">
        <f>AVERAGE(V15,O15,H15)</f>
        <v>0</v>
      </c>
      <c r="X15" s="40"/>
      <c r="Y15" s="9"/>
      <c r="Z15" s="9"/>
      <c r="AA15" s="9"/>
      <c r="AB15" s="14"/>
      <c r="AC15" s="16"/>
      <c r="AD15" s="16"/>
      <c r="AE15" s="16"/>
      <c r="AF15" s="9"/>
      <c r="AG15" s="1"/>
    </row>
    <row r="16" spans="2:33" s="28" customFormat="1" ht="13.9" x14ac:dyDescent="0.25">
      <c r="B16" s="130">
        <v>2.8</v>
      </c>
      <c r="C16" s="173"/>
      <c r="D16" s="173"/>
      <c r="E16" s="173"/>
      <c r="F16" s="173"/>
      <c r="G16" s="29"/>
      <c r="H16" s="127">
        <f>100*G15/SUM(G$15:G$32)+H15</f>
        <v>0</v>
      </c>
      <c r="I16" s="131">
        <v>2.8</v>
      </c>
      <c r="J16" s="173"/>
      <c r="K16" s="173"/>
      <c r="L16" s="173"/>
      <c r="M16" s="173"/>
      <c r="N16" s="30"/>
      <c r="O16" s="127">
        <f>100*N15/SUM(N$15:N$32)+O15</f>
        <v>0</v>
      </c>
      <c r="P16" s="131">
        <v>2.8</v>
      </c>
      <c r="Q16" s="173"/>
      <c r="R16" s="173"/>
      <c r="S16" s="173"/>
      <c r="T16" s="173"/>
      <c r="U16" s="127"/>
      <c r="V16" s="127">
        <f>100*U15/SUM(U$15:U$32)+V15</f>
        <v>0</v>
      </c>
      <c r="W16" s="129">
        <f t="shared" ref="W16:W27" si="0">AVERAGE(V16,O16,H16)</f>
        <v>0</v>
      </c>
      <c r="X16" s="40"/>
      <c r="Y16" s="9"/>
      <c r="Z16" s="9"/>
      <c r="AA16" s="9"/>
      <c r="AB16" s="14"/>
      <c r="AC16" s="16"/>
      <c r="AD16" s="16"/>
      <c r="AE16" s="16"/>
      <c r="AF16" s="9"/>
      <c r="AG16" s="1"/>
    </row>
    <row r="17" spans="2:33" s="28" customFormat="1" ht="13.9" x14ac:dyDescent="0.25">
      <c r="B17" s="126">
        <v>4</v>
      </c>
      <c r="C17" s="173"/>
      <c r="D17" s="173"/>
      <c r="E17" s="173"/>
      <c r="F17" s="173"/>
      <c r="G17" s="29"/>
      <c r="H17" s="127">
        <f t="shared" ref="H17:H32" si="1">100*G16/SUM(G$15:G$32)+H16</f>
        <v>0</v>
      </c>
      <c r="I17" s="128">
        <v>4</v>
      </c>
      <c r="J17" s="173"/>
      <c r="K17" s="173"/>
      <c r="L17" s="173"/>
      <c r="M17" s="173"/>
      <c r="N17" s="30"/>
      <c r="O17" s="127">
        <f t="shared" ref="O17:O32" si="2">100*N16/SUM(N$15:N$32)+O16</f>
        <v>0</v>
      </c>
      <c r="P17" s="128">
        <v>4</v>
      </c>
      <c r="Q17" s="173"/>
      <c r="R17" s="173"/>
      <c r="S17" s="173"/>
      <c r="T17" s="173"/>
      <c r="U17" s="127"/>
      <c r="V17" s="127">
        <f t="shared" ref="V17:V32" si="3">100*U16/SUM(U$15:U$32)+V16</f>
        <v>0</v>
      </c>
      <c r="W17" s="129">
        <f t="shared" si="0"/>
        <v>0</v>
      </c>
      <c r="X17" s="40"/>
      <c r="Y17" s="9"/>
      <c r="Z17" s="9"/>
      <c r="AA17" s="9"/>
      <c r="AB17" s="14"/>
      <c r="AC17" s="9"/>
      <c r="AD17" s="9"/>
      <c r="AE17" s="9"/>
      <c r="AF17" s="9"/>
      <c r="AG17" s="1"/>
    </row>
    <row r="18" spans="2:33" s="28" customFormat="1" ht="17.45" x14ac:dyDescent="0.3">
      <c r="B18" s="126">
        <v>5.6</v>
      </c>
      <c r="C18" s="173"/>
      <c r="D18" s="173"/>
      <c r="E18" s="173"/>
      <c r="F18" s="173"/>
      <c r="G18" s="29"/>
      <c r="H18" s="127">
        <f t="shared" si="1"/>
        <v>0</v>
      </c>
      <c r="I18" s="128">
        <v>5.6</v>
      </c>
      <c r="J18" s="173"/>
      <c r="K18" s="173"/>
      <c r="L18" s="173"/>
      <c r="M18" s="173"/>
      <c r="N18" s="30"/>
      <c r="O18" s="127">
        <f t="shared" si="2"/>
        <v>0</v>
      </c>
      <c r="P18" s="128">
        <v>5.6</v>
      </c>
      <c r="Q18" s="173"/>
      <c r="R18" s="173"/>
      <c r="S18" s="173"/>
      <c r="T18" s="173"/>
      <c r="U18" s="127">
        <v>1</v>
      </c>
      <c r="V18" s="127">
        <f t="shared" si="3"/>
        <v>0</v>
      </c>
      <c r="W18" s="129">
        <f t="shared" si="0"/>
        <v>0</v>
      </c>
      <c r="X18" s="40"/>
      <c r="Y18" s="31" t="s">
        <v>19</v>
      </c>
      <c r="Z18" s="32"/>
      <c r="AA18" s="32"/>
      <c r="AB18" s="33"/>
      <c r="AC18" s="34"/>
      <c r="AD18" s="34"/>
      <c r="AE18" s="34"/>
      <c r="AF18" s="34"/>
      <c r="AG18" s="1"/>
    </row>
    <row r="19" spans="2:33" s="28" customFormat="1" ht="13.9" x14ac:dyDescent="0.25">
      <c r="B19" s="126">
        <v>8</v>
      </c>
      <c r="C19" s="173"/>
      <c r="D19" s="173"/>
      <c r="E19" s="173"/>
      <c r="F19" s="173"/>
      <c r="G19" s="29"/>
      <c r="H19" s="127">
        <f t="shared" si="1"/>
        <v>0</v>
      </c>
      <c r="I19" s="128">
        <v>8</v>
      </c>
      <c r="J19" s="173"/>
      <c r="K19" s="173"/>
      <c r="L19" s="173"/>
      <c r="M19" s="173"/>
      <c r="N19" s="30"/>
      <c r="O19" s="127">
        <f t="shared" si="2"/>
        <v>0</v>
      </c>
      <c r="P19" s="128">
        <v>8</v>
      </c>
      <c r="Q19" s="173"/>
      <c r="R19" s="173"/>
      <c r="S19" s="173"/>
      <c r="T19" s="173"/>
      <c r="U19" s="127">
        <v>1</v>
      </c>
      <c r="V19" s="127">
        <f t="shared" si="3"/>
        <v>1</v>
      </c>
      <c r="W19" s="129">
        <f t="shared" si="0"/>
        <v>0.33333333333333331</v>
      </c>
      <c r="X19" s="40"/>
      <c r="Y19" s="34" t="s">
        <v>20</v>
      </c>
      <c r="Z19" s="174" t="s">
        <v>21</v>
      </c>
      <c r="AA19" s="174"/>
      <c r="AB19" s="174"/>
      <c r="AC19" s="174"/>
      <c r="AD19" s="174"/>
      <c r="AE19" s="174"/>
      <c r="AF19" s="174"/>
      <c r="AG19" s="8"/>
    </row>
    <row r="20" spans="2:33" s="28" customFormat="1" ht="13.9" x14ac:dyDescent="0.25">
      <c r="B20" s="126">
        <v>11</v>
      </c>
      <c r="C20" s="173"/>
      <c r="D20" s="173"/>
      <c r="E20" s="173"/>
      <c r="F20" s="173"/>
      <c r="G20" s="29">
        <v>2</v>
      </c>
      <c r="H20" s="127">
        <f t="shared" si="1"/>
        <v>0</v>
      </c>
      <c r="I20" s="128">
        <v>11</v>
      </c>
      <c r="J20" s="173"/>
      <c r="K20" s="173"/>
      <c r="L20" s="173"/>
      <c r="M20" s="173"/>
      <c r="N20" s="30">
        <v>1</v>
      </c>
      <c r="O20" s="127">
        <f t="shared" si="2"/>
        <v>0</v>
      </c>
      <c r="P20" s="128">
        <v>11</v>
      </c>
      <c r="Q20" s="173"/>
      <c r="R20" s="173"/>
      <c r="S20" s="173"/>
      <c r="T20" s="173"/>
      <c r="U20" s="127">
        <v>1</v>
      </c>
      <c r="V20" s="127">
        <f t="shared" si="3"/>
        <v>2</v>
      </c>
      <c r="W20" s="129">
        <f>AVERAGE(V20,O20,H20)</f>
        <v>0.66666666666666663</v>
      </c>
      <c r="X20" s="40"/>
      <c r="Y20" s="30">
        <v>8355</v>
      </c>
      <c r="Z20" s="175" t="s">
        <v>140</v>
      </c>
      <c r="AA20" s="175"/>
      <c r="AB20" s="175"/>
      <c r="AC20" s="175"/>
      <c r="AD20" s="175"/>
      <c r="AE20" s="175"/>
      <c r="AF20" s="175"/>
    </row>
    <row r="21" spans="2:33" s="28" customFormat="1" ht="13.9" x14ac:dyDescent="0.25">
      <c r="B21" s="126">
        <v>16</v>
      </c>
      <c r="C21" s="173"/>
      <c r="D21" s="173"/>
      <c r="E21" s="173"/>
      <c r="F21" s="173"/>
      <c r="G21" s="29">
        <v>5</v>
      </c>
      <c r="H21" s="127">
        <f t="shared" si="1"/>
        <v>2</v>
      </c>
      <c r="I21" s="128">
        <v>16</v>
      </c>
      <c r="J21" s="173"/>
      <c r="K21" s="173"/>
      <c r="L21" s="173"/>
      <c r="M21" s="173"/>
      <c r="N21" s="30"/>
      <c r="O21" s="127">
        <f t="shared" si="2"/>
        <v>1</v>
      </c>
      <c r="P21" s="128">
        <v>16</v>
      </c>
      <c r="Q21" s="173"/>
      <c r="R21" s="173"/>
      <c r="S21" s="173"/>
      <c r="T21" s="173"/>
      <c r="U21" s="127">
        <v>5</v>
      </c>
      <c r="V21" s="127">
        <f t="shared" si="3"/>
        <v>3</v>
      </c>
      <c r="W21" s="129">
        <f t="shared" si="0"/>
        <v>2</v>
      </c>
      <c r="X21" s="40"/>
      <c r="Y21" s="30">
        <v>8356</v>
      </c>
      <c r="Z21" s="175" t="s">
        <v>141</v>
      </c>
      <c r="AA21" s="175"/>
      <c r="AB21" s="175"/>
      <c r="AC21" s="175"/>
      <c r="AD21" s="175"/>
      <c r="AE21" s="175"/>
      <c r="AF21" s="175"/>
    </row>
    <row r="22" spans="2:33" s="28" customFormat="1" ht="13.9" x14ac:dyDescent="0.25">
      <c r="B22" s="126">
        <v>22.5</v>
      </c>
      <c r="C22" s="173"/>
      <c r="D22" s="173"/>
      <c r="E22" s="173"/>
      <c r="F22" s="173"/>
      <c r="G22" s="29">
        <v>10</v>
      </c>
      <c r="H22" s="127">
        <f t="shared" si="1"/>
        <v>7</v>
      </c>
      <c r="I22" s="128">
        <v>22.5</v>
      </c>
      <c r="J22" s="173"/>
      <c r="K22" s="173"/>
      <c r="L22" s="173"/>
      <c r="M22" s="173"/>
      <c r="N22" s="30">
        <v>3</v>
      </c>
      <c r="O22" s="127">
        <f t="shared" si="2"/>
        <v>1</v>
      </c>
      <c r="P22" s="128">
        <v>22.5</v>
      </c>
      <c r="Q22" s="173"/>
      <c r="R22" s="173"/>
      <c r="S22" s="173"/>
      <c r="T22" s="173"/>
      <c r="U22" s="127">
        <v>9</v>
      </c>
      <c r="V22" s="127">
        <f t="shared" si="3"/>
        <v>8</v>
      </c>
      <c r="W22" s="129">
        <f t="shared" si="0"/>
        <v>5.333333333333333</v>
      </c>
      <c r="X22" s="40"/>
      <c r="Y22" s="27">
        <v>8366</v>
      </c>
      <c r="Z22" s="175" t="s">
        <v>142</v>
      </c>
      <c r="AA22" s="175"/>
      <c r="AB22" s="175"/>
      <c r="AC22" s="175"/>
      <c r="AD22" s="175"/>
      <c r="AE22" s="175"/>
      <c r="AF22" s="175"/>
    </row>
    <row r="23" spans="2:33" s="28" customFormat="1" ht="13.9" x14ac:dyDescent="0.25">
      <c r="B23" s="126">
        <v>32</v>
      </c>
      <c r="C23" s="173"/>
      <c r="D23" s="173"/>
      <c r="E23" s="173"/>
      <c r="F23" s="173"/>
      <c r="G23" s="29">
        <v>13</v>
      </c>
      <c r="H23" s="127">
        <f t="shared" si="1"/>
        <v>17</v>
      </c>
      <c r="I23" s="128">
        <v>32</v>
      </c>
      <c r="J23" s="173"/>
      <c r="K23" s="173"/>
      <c r="L23" s="173"/>
      <c r="M23" s="173"/>
      <c r="N23" s="30">
        <v>16</v>
      </c>
      <c r="O23" s="127">
        <f t="shared" si="2"/>
        <v>4</v>
      </c>
      <c r="P23" s="128">
        <v>32</v>
      </c>
      <c r="Q23" s="173"/>
      <c r="R23" s="173"/>
      <c r="S23" s="173"/>
      <c r="T23" s="173"/>
      <c r="U23" s="127">
        <v>10</v>
      </c>
      <c r="V23" s="127">
        <f t="shared" si="3"/>
        <v>17</v>
      </c>
      <c r="W23" s="129">
        <f t="shared" si="0"/>
        <v>12.666666666666666</v>
      </c>
      <c r="X23" s="40"/>
      <c r="Y23" s="27">
        <v>8367</v>
      </c>
      <c r="Z23" s="175" t="s">
        <v>142</v>
      </c>
      <c r="AA23" s="175"/>
      <c r="AB23" s="175"/>
      <c r="AC23" s="175"/>
      <c r="AD23" s="175"/>
      <c r="AE23" s="175"/>
      <c r="AF23" s="175"/>
    </row>
    <row r="24" spans="2:33" s="28" customFormat="1" ht="13.9" x14ac:dyDescent="0.25">
      <c r="B24" s="126">
        <v>45</v>
      </c>
      <c r="C24" s="173"/>
      <c r="D24" s="173"/>
      <c r="E24" s="173"/>
      <c r="F24" s="173"/>
      <c r="G24" s="29">
        <v>22</v>
      </c>
      <c r="H24" s="127">
        <f t="shared" si="1"/>
        <v>30</v>
      </c>
      <c r="I24" s="128">
        <v>45</v>
      </c>
      <c r="J24" s="173"/>
      <c r="K24" s="173"/>
      <c r="L24" s="173"/>
      <c r="M24" s="173"/>
      <c r="N24" s="35">
        <v>29</v>
      </c>
      <c r="O24" s="127">
        <f t="shared" si="2"/>
        <v>20</v>
      </c>
      <c r="P24" s="128">
        <v>45</v>
      </c>
      <c r="Q24" s="173"/>
      <c r="R24" s="173"/>
      <c r="S24" s="173"/>
      <c r="T24" s="173"/>
      <c r="U24" s="127">
        <v>13</v>
      </c>
      <c r="V24" s="127">
        <f t="shared" si="3"/>
        <v>27</v>
      </c>
      <c r="W24" s="129">
        <f t="shared" si="0"/>
        <v>25.666666666666668</v>
      </c>
      <c r="X24" s="40"/>
      <c r="Y24" s="27">
        <v>8368</v>
      </c>
      <c r="Z24" s="175" t="s">
        <v>143</v>
      </c>
      <c r="AA24" s="175"/>
      <c r="AB24" s="175"/>
      <c r="AC24" s="175"/>
      <c r="AD24" s="175"/>
      <c r="AE24" s="175"/>
      <c r="AF24" s="175"/>
    </row>
    <row r="25" spans="2:33" s="28" customFormat="1" ht="13.9" x14ac:dyDescent="0.25">
      <c r="B25" s="132">
        <v>64</v>
      </c>
      <c r="C25" s="173"/>
      <c r="D25" s="173"/>
      <c r="E25" s="173"/>
      <c r="F25" s="173"/>
      <c r="G25" s="29">
        <v>16</v>
      </c>
      <c r="H25" s="127">
        <f t="shared" si="1"/>
        <v>52</v>
      </c>
      <c r="I25" s="133">
        <v>64</v>
      </c>
      <c r="J25" s="173"/>
      <c r="K25" s="173"/>
      <c r="L25" s="173"/>
      <c r="M25" s="173"/>
      <c r="N25" s="36">
        <v>17</v>
      </c>
      <c r="O25" s="127">
        <f t="shared" si="2"/>
        <v>49</v>
      </c>
      <c r="P25" s="133">
        <v>64</v>
      </c>
      <c r="Q25" s="173"/>
      <c r="R25" s="173"/>
      <c r="S25" s="173"/>
      <c r="T25" s="173"/>
      <c r="U25" s="127">
        <v>14</v>
      </c>
      <c r="V25" s="127">
        <f t="shared" si="3"/>
        <v>40</v>
      </c>
      <c r="W25" s="129">
        <f t="shared" si="0"/>
        <v>47</v>
      </c>
      <c r="X25" s="40"/>
      <c r="Y25" s="27"/>
      <c r="Z25" s="175"/>
      <c r="AA25" s="175"/>
      <c r="AB25" s="175"/>
      <c r="AC25" s="175"/>
      <c r="AD25" s="175"/>
      <c r="AE25" s="175"/>
      <c r="AF25" s="175"/>
    </row>
    <row r="26" spans="2:33" s="28" customFormat="1" ht="13.9" x14ac:dyDescent="0.25">
      <c r="B26" s="126">
        <v>90</v>
      </c>
      <c r="C26" s="173"/>
      <c r="D26" s="173"/>
      <c r="E26" s="173"/>
      <c r="F26" s="173"/>
      <c r="G26" s="29">
        <v>12</v>
      </c>
      <c r="H26" s="127">
        <f t="shared" si="1"/>
        <v>68</v>
      </c>
      <c r="I26" s="128">
        <v>90</v>
      </c>
      <c r="J26" s="173"/>
      <c r="K26" s="173"/>
      <c r="L26" s="173"/>
      <c r="M26" s="173"/>
      <c r="N26" s="37">
        <v>22</v>
      </c>
      <c r="O26" s="127">
        <f t="shared" si="2"/>
        <v>66</v>
      </c>
      <c r="P26" s="128">
        <v>90</v>
      </c>
      <c r="Q26" s="173"/>
      <c r="R26" s="173"/>
      <c r="S26" s="173"/>
      <c r="T26" s="173"/>
      <c r="U26" s="127">
        <v>23</v>
      </c>
      <c r="V26" s="127">
        <f t="shared" si="3"/>
        <v>54</v>
      </c>
      <c r="W26" s="129">
        <f t="shared" si="0"/>
        <v>62.666666666666664</v>
      </c>
      <c r="X26" s="40"/>
      <c r="Y26" s="27"/>
      <c r="Z26" s="175"/>
      <c r="AA26" s="175"/>
      <c r="AB26" s="175"/>
      <c r="AC26" s="175"/>
      <c r="AD26" s="175"/>
      <c r="AE26" s="175"/>
      <c r="AF26" s="175"/>
    </row>
    <row r="27" spans="2:33" s="28" customFormat="1" ht="13.9" x14ac:dyDescent="0.25">
      <c r="B27" s="130">
        <v>128</v>
      </c>
      <c r="C27" s="173"/>
      <c r="D27" s="173"/>
      <c r="E27" s="173"/>
      <c r="F27" s="173"/>
      <c r="G27" s="29">
        <v>13</v>
      </c>
      <c r="H27" s="127">
        <f t="shared" si="1"/>
        <v>80</v>
      </c>
      <c r="I27" s="131">
        <v>128</v>
      </c>
      <c r="J27" s="173"/>
      <c r="K27" s="173"/>
      <c r="L27" s="173"/>
      <c r="M27" s="173"/>
      <c r="N27" s="37">
        <v>10</v>
      </c>
      <c r="O27" s="127">
        <f t="shared" si="2"/>
        <v>88</v>
      </c>
      <c r="P27" s="131">
        <v>128</v>
      </c>
      <c r="Q27" s="173"/>
      <c r="R27" s="173"/>
      <c r="S27" s="173"/>
      <c r="T27" s="173"/>
      <c r="U27" s="127">
        <v>13</v>
      </c>
      <c r="V27" s="127">
        <f t="shared" si="3"/>
        <v>77</v>
      </c>
      <c r="W27" s="129">
        <f t="shared" si="0"/>
        <v>81.666666666666671</v>
      </c>
      <c r="X27" s="40"/>
      <c r="Y27" s="27"/>
      <c r="Z27" s="175"/>
      <c r="AA27" s="175"/>
      <c r="AB27" s="175"/>
      <c r="AC27" s="175"/>
      <c r="AD27" s="175"/>
      <c r="AE27" s="175"/>
      <c r="AF27" s="175"/>
    </row>
    <row r="28" spans="2:33" s="28" customFormat="1" ht="13.9" x14ac:dyDescent="0.25">
      <c r="B28" s="130">
        <v>180</v>
      </c>
      <c r="C28" s="173"/>
      <c r="D28" s="173"/>
      <c r="E28" s="173"/>
      <c r="F28" s="173"/>
      <c r="G28" s="29">
        <v>7</v>
      </c>
      <c r="H28" s="127">
        <f t="shared" si="1"/>
        <v>93</v>
      </c>
      <c r="I28" s="131">
        <v>180</v>
      </c>
      <c r="J28" s="173"/>
      <c r="K28" s="173"/>
      <c r="L28" s="173"/>
      <c r="M28" s="173"/>
      <c r="N28" s="30">
        <v>2</v>
      </c>
      <c r="O28" s="127">
        <f t="shared" si="2"/>
        <v>98</v>
      </c>
      <c r="P28" s="131">
        <v>180</v>
      </c>
      <c r="Q28" s="173"/>
      <c r="R28" s="173"/>
      <c r="S28" s="173"/>
      <c r="T28" s="173"/>
      <c r="U28" s="127">
        <v>10</v>
      </c>
      <c r="V28" s="127">
        <f t="shared" si="3"/>
        <v>90</v>
      </c>
      <c r="W28" s="129">
        <f>AVERAGE(H28,V28,O28)</f>
        <v>93.666666666666671</v>
      </c>
      <c r="X28" s="40"/>
      <c r="Y28" s="27"/>
      <c r="Z28" s="175"/>
      <c r="AA28" s="175"/>
      <c r="AB28" s="175"/>
      <c r="AC28" s="175"/>
      <c r="AD28" s="175"/>
      <c r="AE28" s="175"/>
      <c r="AF28" s="175"/>
    </row>
    <row r="29" spans="2:33" s="28" customFormat="1" ht="13.9" x14ac:dyDescent="0.25">
      <c r="B29" s="130">
        <v>256</v>
      </c>
      <c r="C29" s="173"/>
      <c r="D29" s="173"/>
      <c r="E29" s="173"/>
      <c r="F29" s="173"/>
      <c r="G29" s="29"/>
      <c r="H29" s="127">
        <f t="shared" si="1"/>
        <v>100</v>
      </c>
      <c r="I29" s="131">
        <v>256</v>
      </c>
      <c r="J29" s="173"/>
      <c r="K29" s="173"/>
      <c r="L29" s="173"/>
      <c r="M29" s="173"/>
      <c r="N29" s="30"/>
      <c r="O29" s="127">
        <f t="shared" si="2"/>
        <v>100</v>
      </c>
      <c r="P29" s="131">
        <v>256</v>
      </c>
      <c r="Q29" s="173"/>
      <c r="R29" s="173"/>
      <c r="S29" s="173"/>
      <c r="T29" s="173"/>
      <c r="U29" s="127"/>
      <c r="V29" s="127">
        <f t="shared" si="3"/>
        <v>100</v>
      </c>
      <c r="W29" s="129">
        <f>AVERAGE(H29,V29,O29)</f>
        <v>100</v>
      </c>
      <c r="X29" s="40"/>
      <c r="Y29" s="27"/>
      <c r="Z29" s="175"/>
      <c r="AA29" s="175"/>
      <c r="AB29" s="175"/>
      <c r="AC29" s="175"/>
      <c r="AD29" s="175"/>
      <c r="AE29" s="175"/>
      <c r="AF29" s="175"/>
    </row>
    <row r="30" spans="2:33" s="28" customFormat="1" ht="17.45" x14ac:dyDescent="0.3">
      <c r="B30" s="130">
        <v>360</v>
      </c>
      <c r="C30" s="173"/>
      <c r="D30" s="173"/>
      <c r="E30" s="173"/>
      <c r="F30" s="173"/>
      <c r="G30" s="29"/>
      <c r="H30" s="127">
        <f t="shared" si="1"/>
        <v>100</v>
      </c>
      <c r="I30" s="131">
        <v>360</v>
      </c>
      <c r="J30" s="173"/>
      <c r="K30" s="173"/>
      <c r="L30" s="173"/>
      <c r="M30" s="173"/>
      <c r="N30" s="30"/>
      <c r="O30" s="127">
        <f t="shared" si="2"/>
        <v>100</v>
      </c>
      <c r="P30" s="131">
        <v>360</v>
      </c>
      <c r="Q30" s="173"/>
      <c r="R30" s="173"/>
      <c r="S30" s="173"/>
      <c r="T30" s="173"/>
      <c r="U30" s="127"/>
      <c r="V30" s="127">
        <f t="shared" si="3"/>
        <v>100</v>
      </c>
      <c r="W30" s="129">
        <f>AVERAGE(V30,O30,H30)</f>
        <v>100</v>
      </c>
      <c r="X30" s="40"/>
      <c r="Y30" s="27"/>
      <c r="Z30" s="175"/>
      <c r="AA30" s="175"/>
      <c r="AB30" s="175"/>
      <c r="AC30" s="175"/>
      <c r="AD30" s="175"/>
      <c r="AE30" s="175"/>
      <c r="AF30" s="175"/>
      <c r="AG30" s="41"/>
    </row>
    <row r="31" spans="2:33" s="28" customFormat="1" ht="17.45" x14ac:dyDescent="0.3">
      <c r="B31" s="151">
        <v>510</v>
      </c>
      <c r="C31" s="152"/>
      <c r="D31" s="152"/>
      <c r="E31" s="152"/>
      <c r="F31" s="152"/>
      <c r="G31" s="153"/>
      <c r="H31" s="127">
        <f t="shared" si="1"/>
        <v>100</v>
      </c>
      <c r="I31" s="154">
        <v>510</v>
      </c>
      <c r="J31" s="152"/>
      <c r="K31" s="152"/>
      <c r="L31" s="152"/>
      <c r="M31" s="152"/>
      <c r="N31" s="155"/>
      <c r="O31" s="127">
        <f t="shared" si="2"/>
        <v>100</v>
      </c>
      <c r="P31" s="154">
        <v>510</v>
      </c>
      <c r="Q31" s="152"/>
      <c r="R31" s="152"/>
      <c r="S31" s="152"/>
      <c r="T31" s="152"/>
      <c r="U31" s="127"/>
      <c r="V31" s="127">
        <f t="shared" si="3"/>
        <v>100</v>
      </c>
      <c r="W31" s="156"/>
      <c r="X31" s="40"/>
      <c r="Y31" s="27"/>
      <c r="Z31" s="147"/>
      <c r="AA31" s="148"/>
      <c r="AB31" s="148"/>
      <c r="AC31" s="148"/>
      <c r="AD31" s="148"/>
      <c r="AE31" s="148"/>
      <c r="AF31" s="149"/>
      <c r="AG31" s="41"/>
    </row>
    <row r="32" spans="2:33" s="28" customFormat="1" ht="18" thickBot="1" x14ac:dyDescent="0.35">
      <c r="B32" s="134">
        <v>720</v>
      </c>
      <c r="C32" s="135"/>
      <c r="D32" s="135"/>
      <c r="E32" s="135"/>
      <c r="F32" s="135"/>
      <c r="G32" s="38"/>
      <c r="H32" s="127">
        <f t="shared" si="1"/>
        <v>100</v>
      </c>
      <c r="I32" s="136">
        <v>720</v>
      </c>
      <c r="J32" s="135"/>
      <c r="K32" s="135"/>
      <c r="L32" s="135"/>
      <c r="M32" s="135"/>
      <c r="N32" s="39"/>
      <c r="O32" s="127">
        <f t="shared" si="2"/>
        <v>100</v>
      </c>
      <c r="P32" s="136">
        <v>720</v>
      </c>
      <c r="Q32" s="135"/>
      <c r="R32" s="135"/>
      <c r="S32" s="135"/>
      <c r="T32" s="135"/>
      <c r="U32" s="127"/>
      <c r="V32" s="127">
        <f t="shared" si="3"/>
        <v>100</v>
      </c>
      <c r="W32" s="137">
        <f>AVERAGE(V32,O32,H32)</f>
        <v>100</v>
      </c>
      <c r="X32" s="40"/>
      <c r="Y32" s="27"/>
      <c r="Z32" s="176"/>
      <c r="AA32" s="177"/>
      <c r="AB32" s="177"/>
      <c r="AC32" s="177"/>
      <c r="AD32" s="177"/>
      <c r="AE32" s="177"/>
      <c r="AF32" s="178"/>
      <c r="AG32" s="41"/>
    </row>
    <row r="33" spans="2:32" s="28" customFormat="1" ht="13.9" x14ac:dyDescent="0.25">
      <c r="H33" s="42"/>
      <c r="Y33" s="27"/>
      <c r="Z33" s="176"/>
      <c r="AA33" s="177"/>
      <c r="AB33" s="177"/>
      <c r="AC33" s="177"/>
      <c r="AD33" s="177"/>
      <c r="AE33" s="177"/>
      <c r="AF33" s="178"/>
    </row>
    <row r="34" spans="2:32" s="28" customFormat="1" ht="14.45" thickBot="1" x14ac:dyDescent="0.3">
      <c r="C34" s="184" t="s">
        <v>22</v>
      </c>
      <c r="D34" s="184"/>
      <c r="E34" s="184"/>
      <c r="F34" s="184"/>
      <c r="G34" s="184"/>
      <c r="H34" s="184"/>
      <c r="I34" s="43"/>
      <c r="J34" s="184" t="s">
        <v>23</v>
      </c>
      <c r="K34" s="184"/>
      <c r="L34" s="184"/>
      <c r="M34" s="184"/>
      <c r="N34" s="184"/>
      <c r="O34" s="184"/>
      <c r="P34" s="43"/>
      <c r="Q34" s="184" t="s">
        <v>24</v>
      </c>
      <c r="R34" s="184"/>
      <c r="S34" s="184"/>
      <c r="T34" s="184"/>
      <c r="U34" s="184"/>
      <c r="V34" s="184"/>
      <c r="Y34" s="27"/>
      <c r="Z34" s="176"/>
      <c r="AA34" s="177"/>
      <c r="AB34" s="177"/>
      <c r="AC34" s="177"/>
      <c r="AD34" s="177"/>
      <c r="AE34" s="177"/>
      <c r="AF34" s="178"/>
    </row>
    <row r="35" spans="2:32" s="28" customFormat="1" ht="13.9" x14ac:dyDescent="0.25">
      <c r="C35" s="44"/>
      <c r="D35" s="45"/>
      <c r="E35" s="45"/>
      <c r="F35" s="45"/>
      <c r="G35" s="185"/>
      <c r="H35" s="186"/>
      <c r="I35" s="32"/>
      <c r="J35" s="44"/>
      <c r="K35" s="45"/>
      <c r="L35" s="45"/>
      <c r="M35" s="45"/>
      <c r="N35" s="185"/>
      <c r="O35" s="186"/>
      <c r="Q35" s="44"/>
      <c r="R35" s="45"/>
      <c r="S35" s="45"/>
      <c r="T35" s="45"/>
      <c r="U35" s="185"/>
      <c r="V35" s="186"/>
      <c r="Y35" s="27"/>
      <c r="Z35" s="176"/>
      <c r="AA35" s="177"/>
      <c r="AB35" s="177"/>
      <c r="AC35" s="177"/>
      <c r="AD35" s="177"/>
      <c r="AE35" s="177"/>
      <c r="AF35" s="178"/>
    </row>
    <row r="36" spans="2:32" s="28" customFormat="1" ht="13.9" x14ac:dyDescent="0.25">
      <c r="C36" s="46"/>
      <c r="D36" s="47"/>
      <c r="E36" s="47"/>
      <c r="F36" s="47"/>
      <c r="G36" s="179"/>
      <c r="H36" s="180"/>
      <c r="I36" s="32"/>
      <c r="J36" s="46"/>
      <c r="K36" s="47"/>
      <c r="L36" s="47"/>
      <c r="M36" s="47"/>
      <c r="N36" s="179"/>
      <c r="O36" s="180"/>
      <c r="Q36" s="46"/>
      <c r="R36" s="47"/>
      <c r="S36" s="47"/>
      <c r="T36" s="47"/>
      <c r="U36" s="179"/>
      <c r="V36" s="180"/>
      <c r="Y36" s="62"/>
      <c r="Z36" s="176"/>
      <c r="AA36" s="177"/>
      <c r="AB36" s="177"/>
      <c r="AC36" s="177"/>
      <c r="AD36" s="177"/>
      <c r="AE36" s="177"/>
      <c r="AF36" s="178"/>
    </row>
    <row r="37" spans="2:32" s="28" customFormat="1" ht="13.9" x14ac:dyDescent="0.25">
      <c r="C37" s="46"/>
      <c r="D37" s="47"/>
      <c r="E37" s="47"/>
      <c r="F37" s="47"/>
      <c r="G37" s="179"/>
      <c r="H37" s="180"/>
      <c r="I37" s="32"/>
      <c r="J37" s="46"/>
      <c r="K37" s="47"/>
      <c r="L37" s="47"/>
      <c r="M37" s="47"/>
      <c r="N37" s="179"/>
      <c r="O37" s="180"/>
      <c r="Q37" s="46"/>
      <c r="R37" s="47"/>
      <c r="S37" s="47"/>
      <c r="T37" s="47"/>
      <c r="U37" s="179"/>
      <c r="V37" s="180"/>
      <c r="Y37" s="27"/>
      <c r="Z37" s="176"/>
      <c r="AA37" s="177"/>
      <c r="AB37" s="177"/>
      <c r="AC37" s="177"/>
      <c r="AD37" s="177"/>
      <c r="AE37" s="177"/>
      <c r="AF37" s="178"/>
    </row>
    <row r="38" spans="2:32" s="28" customFormat="1" ht="14.45" thickBot="1" x14ac:dyDescent="0.3">
      <c r="C38" s="50"/>
      <c r="D38" s="51"/>
      <c r="E38" s="51"/>
      <c r="F38" s="51"/>
      <c r="G38" s="181"/>
      <c r="H38" s="182"/>
      <c r="I38" s="32"/>
      <c r="J38" s="50"/>
      <c r="K38" s="51"/>
      <c r="L38" s="51"/>
      <c r="M38" s="51"/>
      <c r="N38" s="52"/>
      <c r="O38" s="53"/>
      <c r="Q38" s="50"/>
      <c r="R38" s="51"/>
      <c r="S38" s="51"/>
      <c r="T38" s="51"/>
      <c r="U38" s="181"/>
      <c r="V38" s="182"/>
      <c r="Z38" s="49"/>
      <c r="AA38" s="183"/>
      <c r="AB38" s="183"/>
      <c r="AC38" s="183"/>
      <c r="AD38" s="43"/>
      <c r="AF38" s="17"/>
    </row>
    <row r="39" spans="2:32" s="28" customFormat="1" ht="13.9" x14ac:dyDescent="0.25">
      <c r="B39" s="1" t="s">
        <v>25</v>
      </c>
      <c r="C39" s="28" t="s">
        <v>26</v>
      </c>
      <c r="G39" s="1"/>
      <c r="H39" s="42"/>
      <c r="K39" s="1" t="s">
        <v>27</v>
      </c>
      <c r="L39" s="1"/>
      <c r="M39" s="1">
        <v>657</v>
      </c>
      <c r="N39" s="1"/>
      <c r="R39" s="48"/>
      <c r="S39" s="48"/>
      <c r="T39" s="48"/>
      <c r="V39" s="48" t="s">
        <v>94</v>
      </c>
      <c r="Y39" s="1" t="s">
        <v>28</v>
      </c>
      <c r="Z39" s="1"/>
      <c r="AA39" s="1"/>
      <c r="AB39" s="1" t="s">
        <v>27</v>
      </c>
      <c r="AC39" s="1">
        <v>657</v>
      </c>
      <c r="AE39" s="1"/>
      <c r="AF39" s="48" t="s">
        <v>144</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10"/>
      <c r="F42" s="110"/>
      <c r="G42" s="110"/>
      <c r="H42" s="111"/>
      <c r="I42" s="110"/>
      <c r="J42" s="110"/>
      <c r="K42" s="110"/>
      <c r="L42" s="110"/>
      <c r="M42" s="110"/>
      <c r="N42" s="110"/>
      <c r="O42" s="110"/>
      <c r="P42" s="110"/>
      <c r="Q42" s="110"/>
      <c r="R42" s="110"/>
      <c r="S42" s="110"/>
      <c r="T42" s="110"/>
      <c r="U42" s="110"/>
      <c r="V42" s="110"/>
      <c r="W42" s="110" t="s">
        <v>93</v>
      </c>
      <c r="X42" s="110"/>
      <c r="Z42" s="32"/>
      <c r="AA42" s="32"/>
      <c r="AB42" s="32"/>
      <c r="AC42" s="33"/>
      <c r="AD42" s="34"/>
      <c r="AF42" s="34"/>
    </row>
    <row r="43" spans="2:32" s="28" customFormat="1" ht="15" x14ac:dyDescent="0.25">
      <c r="E43" s="107" t="s">
        <v>88</v>
      </c>
      <c r="F43" s="107" t="s">
        <v>11</v>
      </c>
      <c r="G43" s="110"/>
      <c r="H43" s="110"/>
      <c r="I43" s="110"/>
      <c r="J43" s="110"/>
      <c r="K43" s="110"/>
      <c r="L43" s="107" t="s">
        <v>88</v>
      </c>
      <c r="M43" s="107" t="s">
        <v>11</v>
      </c>
      <c r="N43" s="110"/>
      <c r="O43" s="110"/>
      <c r="P43" s="110"/>
      <c r="Q43" s="110"/>
      <c r="R43" s="110"/>
      <c r="S43" s="107" t="s">
        <v>88</v>
      </c>
      <c r="T43" s="107" t="s">
        <v>11</v>
      </c>
      <c r="U43" s="110"/>
      <c r="V43" s="110"/>
      <c r="W43" s="107" t="s">
        <v>11</v>
      </c>
      <c r="X43" s="114"/>
      <c r="Z43" s="32"/>
      <c r="AA43" s="32"/>
      <c r="AB43" s="32"/>
      <c r="AC43" s="33"/>
      <c r="AD43" s="34"/>
      <c r="AF43" s="34"/>
    </row>
    <row r="44" spans="2:32" s="28" customFormat="1" ht="15" x14ac:dyDescent="0.25">
      <c r="E44" s="107">
        <v>16</v>
      </c>
      <c r="F44" s="108">
        <f ca="1">10^(FORECAST(E44,LOG(OFFSET(B$15:B$30,MATCH(E44,H$15:H$30,1)-1,0,2)),OFFSET(H$15:H$30,MATCH(E44,H$15:H$30,1)-1,0,2)))</f>
        <v>30.89251258698437</v>
      </c>
      <c r="G44" s="110"/>
      <c r="H44" s="110"/>
      <c r="I44" s="110"/>
      <c r="J44" s="110"/>
      <c r="K44" s="110"/>
      <c r="L44" s="107">
        <v>16</v>
      </c>
      <c r="M44" s="108">
        <f ca="1">10^(FORECAST(L44,LOG(OFFSET(I$15:I$30,MATCH(L44,O$15:O$30,1)-1,0,2)),OFFSET(O$15:O$30,MATCH(L44,O$15:O$30,1)-1,0,2)))</f>
        <v>41.323479239905808</v>
      </c>
      <c r="N44" s="110"/>
      <c r="O44" s="110"/>
      <c r="P44" s="110"/>
      <c r="Q44" s="110"/>
      <c r="R44" s="110"/>
      <c r="S44" s="107">
        <v>16</v>
      </c>
      <c r="T44" s="108">
        <f ca="1">10^(FORECAST(S44,LOG(OFFSET(P$15:P$30,MATCH(S44,V$15:V$30,1)-1,0,2)),OFFSET(V$15:V$30,MATCH(S44,V$15:V$30,1)-1,0,2)))</f>
        <v>30.771849085038475</v>
      </c>
      <c r="U44" s="110"/>
      <c r="V44" s="112"/>
      <c r="W44" s="108">
        <f ca="1">10^(FORECAST(S44,LOG(OFFSET(P$15:P$30,MATCH(S44,W$15:W$30,1)-1,0,2)),OFFSET(W$15:W$30,MATCH(S44,W$15:W$30,1)-1,0,2)))</f>
        <v>34.923256281549975</v>
      </c>
      <c r="X44" s="108"/>
    </row>
    <row r="45" spans="2:32" s="28" customFormat="1" ht="15" x14ac:dyDescent="0.25">
      <c r="E45" s="107">
        <v>50</v>
      </c>
      <c r="F45" s="108">
        <f t="shared" ref="F45:F47" ca="1" si="4">10^(FORECAST(E45,LOG(OFFSET(B$15:B$30,MATCH(E45,H$15:H$30,1)-1,0,2)),OFFSET(H$15:H$30,MATCH(E45,H$15:H$30,1)-1,0,2)))</f>
        <v>61.983178232262588</v>
      </c>
      <c r="G45" s="110"/>
      <c r="H45" s="110"/>
      <c r="I45" s="110"/>
      <c r="J45" s="110"/>
      <c r="K45" s="110"/>
      <c r="L45" s="107">
        <v>50</v>
      </c>
      <c r="M45" s="108">
        <f t="shared" ref="M45:M47" ca="1" si="5">10^(FORECAST(L45,LOG(OFFSET(I$15:I$30,MATCH(L45,O$15:O$30,1)-1,0,2)),OFFSET(O$15:O$30,MATCH(L45,O$15:O$30,1)-1,0,2)))</f>
        <v>65.29644465500742</v>
      </c>
      <c r="N45" s="110"/>
      <c r="O45" s="110"/>
      <c r="P45" s="110"/>
      <c r="Q45" s="110"/>
      <c r="R45" s="110"/>
      <c r="S45" s="107">
        <v>50</v>
      </c>
      <c r="T45" s="108">
        <f t="shared" ref="T45:T47" ca="1" si="6">10^(FORECAST(S45,LOG(OFFSET(P$15:P$30,MATCH(S45,V$15:V$30,1)-1,0,2)),OFFSET(V$15:V$30,MATCH(S45,V$15:V$30,1)-1,0,2)))</f>
        <v>81.646754855558683</v>
      </c>
      <c r="U45" s="110"/>
      <c r="V45" s="112"/>
      <c r="W45" s="108">
        <f t="shared" ref="W45:W47" ca="1" si="7">10^(FORECAST(S45,LOG(OFFSET(P$15:P$30,MATCH(S45,W$15:W$30,1)-1,0,2)),OFFSET(W$15:W$30,MATCH(S45,W$15:W$30,1)-1,0,2)))</f>
        <v>68.317564326491464</v>
      </c>
      <c r="X45" s="108"/>
    </row>
    <row r="46" spans="2:32" s="28" customFormat="1" ht="15" x14ac:dyDescent="0.25">
      <c r="E46" s="107">
        <v>84</v>
      </c>
      <c r="F46" s="108">
        <f t="shared" ca="1" si="4"/>
        <v>142.15681115550996</v>
      </c>
      <c r="G46" s="110"/>
      <c r="H46" s="110"/>
      <c r="I46" s="110"/>
      <c r="J46" s="110"/>
      <c r="K46" s="110"/>
      <c r="L46" s="107">
        <v>84</v>
      </c>
      <c r="M46" s="108">
        <f t="shared" ca="1" si="5"/>
        <v>120.05982449288862</v>
      </c>
      <c r="N46" s="110"/>
      <c r="O46" s="110"/>
      <c r="P46" s="110"/>
      <c r="Q46" s="110"/>
      <c r="R46" s="110"/>
      <c r="S46" s="107">
        <v>84</v>
      </c>
      <c r="T46" s="108">
        <f t="shared" ca="1" si="6"/>
        <v>153.79278100823984</v>
      </c>
      <c r="U46" s="110"/>
      <c r="V46" s="112"/>
      <c r="W46" s="108">
        <f t="shared" ca="1" si="7"/>
        <v>136.7728533017038</v>
      </c>
      <c r="X46" s="108"/>
    </row>
    <row r="47" spans="2:32" s="28" customFormat="1" ht="15" x14ac:dyDescent="0.25">
      <c r="E47" s="107">
        <v>90</v>
      </c>
      <c r="F47" s="108">
        <f t="shared" ca="1" si="4"/>
        <v>166.38119058800839</v>
      </c>
      <c r="G47" s="110"/>
      <c r="H47" s="110"/>
      <c r="I47" s="110"/>
      <c r="J47" s="110"/>
      <c r="K47" s="110"/>
      <c r="L47" s="107">
        <v>90</v>
      </c>
      <c r="M47" s="108">
        <f t="shared" ca="1" si="5"/>
        <v>137.03215157365281</v>
      </c>
      <c r="N47" s="110"/>
      <c r="O47" s="110"/>
      <c r="P47" s="110"/>
      <c r="Q47" s="110"/>
      <c r="R47" s="110"/>
      <c r="S47" s="107">
        <v>90</v>
      </c>
      <c r="T47" s="108">
        <f t="shared" ca="1" si="6"/>
        <v>180</v>
      </c>
      <c r="U47" s="110"/>
      <c r="V47" s="112"/>
      <c r="W47" s="108">
        <f t="shared" ca="1" si="7"/>
        <v>162.1926519425493</v>
      </c>
      <c r="X47" s="108"/>
    </row>
    <row r="48" spans="2:32" s="28" customFormat="1" ht="15" x14ac:dyDescent="0.25">
      <c r="E48" s="109"/>
      <c r="F48" s="109"/>
      <c r="G48" s="110"/>
      <c r="H48" s="110"/>
      <c r="I48" s="110"/>
      <c r="J48" s="110"/>
      <c r="K48" s="110"/>
      <c r="L48" s="109"/>
      <c r="M48" s="109"/>
      <c r="N48" s="110"/>
      <c r="O48" s="110"/>
      <c r="P48" s="110"/>
      <c r="Q48" s="110"/>
      <c r="R48" s="110"/>
      <c r="S48" s="109"/>
      <c r="T48" s="109"/>
      <c r="U48" s="110"/>
      <c r="V48" s="110"/>
      <c r="W48" s="109"/>
      <c r="X48" s="109"/>
    </row>
    <row r="49" spans="5:24" s="28" customFormat="1" ht="15" x14ac:dyDescent="0.25">
      <c r="E49" s="107" t="s">
        <v>89</v>
      </c>
      <c r="F49" s="108">
        <f ca="1">0.5*(F46/F45+F45/F44)</f>
        <v>2.1499441650607607</v>
      </c>
      <c r="G49" s="110"/>
      <c r="H49" s="110"/>
      <c r="I49" s="110"/>
      <c r="J49" s="110"/>
      <c r="K49" s="110"/>
      <c r="L49" s="107" t="s">
        <v>89</v>
      </c>
      <c r="M49" s="108">
        <f ca="1">0.5*(M46/M45+M45/M44)</f>
        <v>1.709408972415454</v>
      </c>
      <c r="N49" s="110"/>
      <c r="O49" s="110"/>
      <c r="P49" s="110"/>
      <c r="Q49" s="110"/>
      <c r="R49" s="110"/>
      <c r="S49" s="107" t="s">
        <v>89</v>
      </c>
      <c r="T49" s="108">
        <f ca="1">0.5*(T46/T45+T45/T44)</f>
        <v>2.2684649624816879</v>
      </c>
      <c r="U49" s="110"/>
      <c r="V49" s="110"/>
      <c r="W49" s="108">
        <f ca="1">0.5*(W46/W45+W45/W44)</f>
        <v>1.9791178583045923</v>
      </c>
      <c r="X49" s="108"/>
    </row>
    <row r="50" spans="5:24" s="28" customFormat="1" ht="15" x14ac:dyDescent="0.25">
      <c r="E50" s="109"/>
      <c r="F50" s="108"/>
      <c r="G50" s="110"/>
      <c r="H50" s="110"/>
      <c r="I50" s="110"/>
      <c r="J50" s="110"/>
      <c r="K50" s="110"/>
      <c r="L50" s="109"/>
      <c r="M50" s="108"/>
      <c r="N50" s="110"/>
      <c r="O50" s="110"/>
      <c r="P50" s="110"/>
      <c r="Q50" s="110"/>
      <c r="R50" s="110"/>
      <c r="S50" s="109"/>
      <c r="T50" s="108"/>
      <c r="U50" s="110"/>
      <c r="V50" s="110"/>
      <c r="W50" s="108"/>
      <c r="X50" s="108"/>
    </row>
    <row r="51" spans="5:24" s="28" customFormat="1" ht="15" x14ac:dyDescent="0.25">
      <c r="E51" s="109" t="s">
        <v>91</v>
      </c>
      <c r="F51" s="108">
        <f>H14</f>
        <v>1</v>
      </c>
      <c r="G51" s="110"/>
      <c r="H51" s="110"/>
      <c r="I51" s="110"/>
      <c r="J51" s="110"/>
      <c r="K51" s="110"/>
      <c r="L51" s="109" t="s">
        <v>91</v>
      </c>
      <c r="M51" s="108">
        <f>O14</f>
        <v>9</v>
      </c>
      <c r="N51" s="110"/>
      <c r="O51" s="110"/>
      <c r="P51" s="110"/>
      <c r="Q51" s="110"/>
      <c r="R51" s="110"/>
      <c r="S51" s="109" t="s">
        <v>91</v>
      </c>
      <c r="T51" s="108">
        <f>V14</f>
        <v>0</v>
      </c>
      <c r="U51" s="110"/>
      <c r="V51" s="110"/>
      <c r="W51" s="108">
        <f>AVERAGE(T51,M51,F51)</f>
        <v>3.3333333333333335</v>
      </c>
      <c r="X51" s="108"/>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C25:F25"/>
    <mergeCell ref="J25:M25"/>
    <mergeCell ref="Q25:T25"/>
    <mergeCell ref="Z25:AF25"/>
    <mergeCell ref="Z35:AF35"/>
    <mergeCell ref="C28:F28"/>
    <mergeCell ref="J28:M28"/>
    <mergeCell ref="Q28:T28"/>
    <mergeCell ref="Z28:AF28"/>
    <mergeCell ref="C26:F26"/>
    <mergeCell ref="J26:M26"/>
    <mergeCell ref="Q26:T26"/>
    <mergeCell ref="Z26:AF26"/>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18:F18"/>
    <mergeCell ref="J18:M18"/>
    <mergeCell ref="Q18:T18"/>
    <mergeCell ref="C19:F19"/>
    <mergeCell ref="J19:M19"/>
    <mergeCell ref="Q19:T19"/>
    <mergeCell ref="Z19:AF19"/>
    <mergeCell ref="C20:F20"/>
    <mergeCell ref="J20:M20"/>
    <mergeCell ref="Q20:T20"/>
    <mergeCell ref="Z20:AF20"/>
    <mergeCell ref="C16:F16"/>
    <mergeCell ref="J16:M16"/>
    <mergeCell ref="Q16:T16"/>
    <mergeCell ref="C17:F17"/>
    <mergeCell ref="J17:M17"/>
    <mergeCell ref="Q17:T17"/>
    <mergeCell ref="C14:F14"/>
    <mergeCell ref="J14:M14"/>
    <mergeCell ref="Q14:T14"/>
    <mergeCell ref="C15:F15"/>
    <mergeCell ref="J15:M15"/>
    <mergeCell ref="Q15:T15"/>
    <mergeCell ref="B2:V2"/>
    <mergeCell ref="Y2:AF2"/>
    <mergeCell ref="C12:H12"/>
    <mergeCell ref="C13:F13"/>
    <mergeCell ref="J13:M13"/>
    <mergeCell ref="Q13:T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9"/>
      <c r="D6" s="187" t="s">
        <v>95</v>
      </c>
      <c r="E6" s="187"/>
      <c r="F6" s="187"/>
      <c r="G6" s="187"/>
      <c r="H6" s="107" t="s">
        <v>96</v>
      </c>
    </row>
    <row r="7" spans="3:8" x14ac:dyDescent="0.25">
      <c r="C7" s="109"/>
      <c r="D7" s="107" t="s">
        <v>12</v>
      </c>
      <c r="E7" s="107" t="s">
        <v>15</v>
      </c>
      <c r="F7" s="107" t="s">
        <v>16</v>
      </c>
      <c r="G7" s="107" t="s">
        <v>97</v>
      </c>
      <c r="H7" s="107" t="s">
        <v>98</v>
      </c>
    </row>
    <row r="8" spans="3:8" x14ac:dyDescent="0.25">
      <c r="C8" s="109" t="s">
        <v>99</v>
      </c>
      <c r="D8" s="108">
        <f ca="1">Surface!F44</f>
        <v>30.89251258698437</v>
      </c>
      <c r="E8" s="108">
        <f ca="1">Surface!M44</f>
        <v>41.323479239905808</v>
      </c>
      <c r="F8" s="108">
        <f ca="1">Surface!T44</f>
        <v>30.771849085038475</v>
      </c>
      <c r="G8" s="108">
        <f ca="1">Surface!W44</f>
        <v>34.923256281549975</v>
      </c>
      <c r="H8" s="108">
        <f ca="1">SubS!AA31</f>
        <v>1.5940950081700873</v>
      </c>
    </row>
    <row r="9" spans="3:8" x14ac:dyDescent="0.25">
      <c r="C9" s="109" t="s">
        <v>100</v>
      </c>
      <c r="D9" s="108">
        <f ca="1">Surface!F45</f>
        <v>61.983178232262588</v>
      </c>
      <c r="E9" s="108">
        <f ca="1">Surface!M45</f>
        <v>65.29644465500742</v>
      </c>
      <c r="F9" s="108">
        <f ca="1">Surface!T45</f>
        <v>81.646754855558683</v>
      </c>
      <c r="G9" s="108">
        <f ca="1">Surface!W45</f>
        <v>68.317564326491464</v>
      </c>
      <c r="H9" s="108">
        <f ca="1">SubS!AA32</f>
        <v>26.489782258484169</v>
      </c>
    </row>
    <row r="10" spans="3:8" x14ac:dyDescent="0.25">
      <c r="C10" s="109" t="s">
        <v>101</v>
      </c>
      <c r="D10" s="108">
        <f ca="1">Surface!F46</f>
        <v>142.15681115550996</v>
      </c>
      <c r="E10" s="108">
        <f ca="1">Surface!M46</f>
        <v>120.05982449288862</v>
      </c>
      <c r="F10" s="108">
        <f ca="1">Surface!T46</f>
        <v>153.79278100823984</v>
      </c>
      <c r="G10" s="108">
        <f ca="1">Surface!W46</f>
        <v>136.7728533017038</v>
      </c>
      <c r="H10" s="108">
        <f ca="1">SubS!AA33</f>
        <v>87.381595549540833</v>
      </c>
    </row>
    <row r="11" spans="3:8" x14ac:dyDescent="0.25">
      <c r="C11" s="109" t="s">
        <v>102</v>
      </c>
      <c r="D11" s="108">
        <f ca="1">Surface!F47</f>
        <v>166.38119058800839</v>
      </c>
      <c r="E11" s="108">
        <f ca="1">Surface!M47</f>
        <v>137.03215157365281</v>
      </c>
      <c r="F11" s="108">
        <f ca="1">Surface!T47</f>
        <v>180</v>
      </c>
      <c r="G11" s="108">
        <f ca="1">Surface!W47</f>
        <v>162.1926519425493</v>
      </c>
      <c r="H11" s="108">
        <f ca="1">SubS!AA34</f>
        <v>105.3919329790497</v>
      </c>
    </row>
    <row r="12" spans="3:8" x14ac:dyDescent="0.25">
      <c r="C12" s="109"/>
      <c r="D12" s="108"/>
      <c r="E12" s="108"/>
      <c r="F12" s="108"/>
      <c r="G12" s="108"/>
      <c r="H12" s="108"/>
    </row>
    <row r="13" spans="3:8" x14ac:dyDescent="0.25">
      <c r="C13" s="109" t="s">
        <v>103</v>
      </c>
      <c r="D13" s="108">
        <f ca="1">Surface!F49</f>
        <v>2.1499441650607607</v>
      </c>
      <c r="E13" s="108">
        <f ca="1">Surface!M49</f>
        <v>1.709408972415454</v>
      </c>
      <c r="F13" s="108">
        <f ca="1">Surface!T49</f>
        <v>2.2684649624816879</v>
      </c>
      <c r="G13" s="108">
        <f ca="1">Surface!W49</f>
        <v>1.9791178583045923</v>
      </c>
      <c r="H13" s="108">
        <f ca="1">SubS!AA36</f>
        <v>9.9580665844064189</v>
      </c>
    </row>
    <row r="14" spans="3:8" x14ac:dyDescent="0.25">
      <c r="C14" s="109" t="s">
        <v>104</v>
      </c>
      <c r="D14" s="108">
        <f>Surface!F51</f>
        <v>1</v>
      </c>
      <c r="E14" s="108">
        <f>Surface!M51</f>
        <v>9</v>
      </c>
      <c r="F14" s="108">
        <f>Surface!T51</f>
        <v>0</v>
      </c>
      <c r="G14" s="108">
        <f>Surface!W51</f>
        <v>3.3333333333333335</v>
      </c>
      <c r="H14" s="109"/>
    </row>
    <row r="15" spans="3:8" x14ac:dyDescent="0.25">
      <c r="C15" s="109"/>
      <c r="D15" s="109"/>
      <c r="E15" s="109"/>
      <c r="F15" s="109"/>
      <c r="G15" s="109"/>
      <c r="H15" s="109"/>
    </row>
    <row r="16" spans="3:8" x14ac:dyDescent="0.25">
      <c r="C16" s="109" t="s">
        <v>105</v>
      </c>
      <c r="D16" s="109"/>
      <c r="E16" s="109"/>
      <c r="F16" s="109"/>
      <c r="G16" s="109"/>
      <c r="H16" s="108">
        <f>SubS!AA37</f>
        <v>82.852120372441178</v>
      </c>
    </row>
    <row r="17" spans="3:8" x14ac:dyDescent="0.25">
      <c r="C17" s="109" t="s">
        <v>106</v>
      </c>
      <c r="D17" s="109"/>
      <c r="E17" s="109"/>
      <c r="F17" s="109"/>
      <c r="G17" s="109"/>
      <c r="H17" s="108">
        <f>SubS!AA38</f>
        <v>15.978706016588905</v>
      </c>
    </row>
    <row r="18" spans="3:8" x14ac:dyDescent="0.25">
      <c r="C18" s="109" t="s">
        <v>107</v>
      </c>
      <c r="D18" s="109"/>
      <c r="E18" s="109"/>
      <c r="F18" s="109"/>
      <c r="G18" s="109"/>
      <c r="H18" s="108">
        <f>SubS!AA39</f>
        <v>1.1691736109699198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3" t="s">
        <v>108</v>
      </c>
    </row>
    <row r="2" spans="1:1" x14ac:dyDescent="0.25">
      <c r="A2" s="113"/>
    </row>
    <row r="3" spans="1:1" x14ac:dyDescent="0.25">
      <c r="A3" s="113" t="s">
        <v>111</v>
      </c>
    </row>
    <row r="4" spans="1:1" x14ac:dyDescent="0.25">
      <c r="A4" s="113"/>
    </row>
    <row r="5" spans="1:1" x14ac:dyDescent="0.25">
      <c r="A5" s="113" t="s">
        <v>112</v>
      </c>
    </row>
    <row r="6" spans="1:1" x14ac:dyDescent="0.25">
      <c r="A6" s="113"/>
    </row>
    <row r="7" spans="1:1" x14ac:dyDescent="0.25">
      <c r="A7" s="113" t="s">
        <v>109</v>
      </c>
    </row>
    <row r="8" spans="1:1" x14ac:dyDescent="0.25">
      <c r="A8" s="113"/>
    </row>
    <row r="9" spans="1:1" x14ac:dyDescent="0.25">
      <c r="A9" s="113"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2014-12-17T22:19:55Z</dcterms:modified>
</cp:coreProperties>
</file>