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T32765 Susitna April - June 2014\5. Field Work\Field Data Non GIS Processed\FOCUS AREAS - QC2\FA-173\"/>
    </mc:Choice>
  </mc:AlternateContent>
  <bookViews>
    <workbookView xWindow="-15" yWindow="-15" windowWidth="12615" windowHeight="8730"/>
  </bookViews>
  <sheets>
    <sheet name="SubS" sheetId="1" r:id="rId1"/>
    <sheet name="Surface" sheetId="2" r:id="rId2"/>
    <sheet name="Summary" sheetId="3" r:id="rId3"/>
    <sheet name="readme" sheetId="6" r:id="rId4"/>
    <sheet name="Dist Chart" sheetId="5" r:id="rId5"/>
  </sheets>
  <externalReferences>
    <externalReference r:id="rId6"/>
  </externalReferences>
  <definedNames>
    <definedName name="_xlnm.Print_Area" localSheetId="0">SubS!$B$1:$J$53</definedName>
  </definedNames>
  <calcPr calcId="152511"/>
</workbook>
</file>

<file path=xl/calcChain.xml><?xml version="1.0" encoding="utf-8"?>
<calcChain xmlns="http://schemas.openxmlformats.org/spreadsheetml/2006/main">
  <c r="AF27" i="1" l="1"/>
  <c r="AF26" i="1"/>
  <c r="AF25" i="1"/>
  <c r="AF24" i="1"/>
  <c r="AF23" i="1"/>
  <c r="AF22" i="1"/>
  <c r="AF21" i="1"/>
  <c r="AF20" i="1"/>
  <c r="AF19" i="1"/>
  <c r="AA29" i="1"/>
  <c r="AB29" i="1"/>
  <c r="AA28" i="1"/>
  <c r="AA19" i="1"/>
  <c r="AA18" i="1"/>
  <c r="AA17" i="1"/>
  <c r="AA16" i="1"/>
  <c r="AA15" i="1"/>
  <c r="AA14" i="1"/>
  <c r="AA13" i="1"/>
  <c r="E25" i="1" l="1"/>
  <c r="E24" i="1"/>
  <c r="E23" i="1"/>
  <c r="E22" i="1"/>
  <c r="E21" i="1"/>
  <c r="E20" i="1"/>
  <c r="E19" i="1"/>
  <c r="E18" i="1"/>
  <c r="E17" i="1"/>
  <c r="E16" i="1"/>
  <c r="V15" i="2" l="1"/>
  <c r="V16" i="2" s="1"/>
  <c r="V17" i="2" s="1"/>
  <c r="V18" i="2" s="1"/>
  <c r="V19" i="2" s="1"/>
  <c r="V20" i="2" s="1"/>
  <c r="V21" i="2" s="1"/>
  <c r="V22" i="2" s="1"/>
  <c r="V23" i="2" s="1"/>
  <c r="V24" i="2" s="1"/>
  <c r="V25" i="2" s="1"/>
  <c r="V26" i="2" s="1"/>
  <c r="V27" i="2" s="1"/>
  <c r="V28" i="2" s="1"/>
  <c r="V29" i="2" s="1"/>
  <c r="V30" i="2" s="1"/>
  <c r="V31" i="2" s="1"/>
  <c r="O15" i="2"/>
  <c r="O16" i="2" s="1"/>
  <c r="O17" i="2" s="1"/>
  <c r="O18" i="2" s="1"/>
  <c r="O19" i="2" s="1"/>
  <c r="O20" i="2" s="1"/>
  <c r="O21" i="2" s="1"/>
  <c r="O22" i="2" s="1"/>
  <c r="O23" i="2" s="1"/>
  <c r="O24" i="2" s="1"/>
  <c r="O25" i="2" s="1"/>
  <c r="O26" i="2" s="1"/>
  <c r="O27" i="2" s="1"/>
  <c r="O28" i="2" s="1"/>
  <c r="O29" i="2" s="1"/>
  <c r="O30" i="2" s="1"/>
  <c r="O31" i="2" s="1"/>
  <c r="H15" i="2"/>
  <c r="H16" i="2" s="1"/>
  <c r="H17" i="2" s="1"/>
  <c r="H18" i="2" s="1"/>
  <c r="H19" i="2" s="1"/>
  <c r="H20" i="2" s="1"/>
  <c r="H21" i="2" s="1"/>
  <c r="H22" i="2" s="1"/>
  <c r="H23" i="2" s="1"/>
  <c r="H24" i="2" s="1"/>
  <c r="H25" i="2" s="1"/>
  <c r="H26" i="2" s="1"/>
  <c r="H27" i="2" s="1"/>
  <c r="H28" i="2" s="1"/>
  <c r="H29" i="2" s="1"/>
  <c r="H30" i="2" s="1"/>
  <c r="H31" i="2" s="1"/>
  <c r="AD4" i="1"/>
  <c r="AB5" i="1" s="1"/>
  <c r="V13" i="2"/>
  <c r="O13" i="2"/>
  <c r="Z6" i="2" l="1"/>
  <c r="D44" i="1"/>
  <c r="C44" i="1"/>
  <c r="E44" i="1" s="1"/>
  <c r="E33" i="1"/>
  <c r="E34" i="1"/>
  <c r="E35" i="1"/>
  <c r="E36" i="1"/>
  <c r="E37" i="1"/>
  <c r="E38" i="1"/>
  <c r="E39" i="1"/>
  <c r="E40" i="1"/>
  <c r="E41" i="1"/>
  <c r="E42" i="1"/>
  <c r="E43" i="1"/>
  <c r="E32" i="1"/>
  <c r="F32" i="1" s="1"/>
  <c r="F33" i="1" s="1"/>
  <c r="F34" i="1" s="1"/>
  <c r="F35" i="1" s="1"/>
  <c r="F36" i="1" s="1"/>
  <c r="F37" i="1" l="1"/>
  <c r="F38" i="1" s="1"/>
  <c r="F39" i="1" s="1"/>
  <c r="F40" i="1" s="1"/>
  <c r="F41" i="1" s="1"/>
  <c r="F42" i="1" s="1"/>
  <c r="F43" i="1" s="1"/>
  <c r="E26" i="1"/>
  <c r="H48" i="1" s="1"/>
  <c r="Z5" i="2"/>
  <c r="Z4" i="2"/>
  <c r="W31" i="2" l="1"/>
  <c r="H13" i="2"/>
  <c r="F50" i="2" s="1"/>
  <c r="T50" i="2"/>
  <c r="W30" i="2" l="1"/>
  <c r="T44" i="2"/>
  <c r="T43" i="2"/>
  <c r="T46" i="2"/>
  <c r="T45" i="2"/>
  <c r="F46" i="2"/>
  <c r="F44" i="2"/>
  <c r="F43" i="2"/>
  <c r="F45" i="2"/>
  <c r="F14" i="3"/>
  <c r="D14" i="3"/>
  <c r="W14" i="2"/>
  <c r="AB17" i="1"/>
  <c r="AB18" i="1"/>
  <c r="AB16" i="1"/>
  <c r="AB15" i="1"/>
  <c r="AB14" i="1"/>
  <c r="AB13" i="1"/>
  <c r="AA12" i="1"/>
  <c r="AB12" i="1" s="1"/>
  <c r="AA11" i="1"/>
  <c r="AB11" i="1" s="1"/>
  <c r="AB19" i="1" l="1"/>
  <c r="T48" i="2"/>
  <c r="F48" i="2"/>
  <c r="M50" i="2"/>
  <c r="E14" i="3" s="1"/>
  <c r="W13" i="2"/>
  <c r="AA10" i="1"/>
  <c r="AB10" i="1" s="1"/>
  <c r="W15" i="2"/>
  <c r="D9" i="3"/>
  <c r="D8" i="3"/>
  <c r="D26" i="1"/>
  <c r="C26" i="1"/>
  <c r="AB28" i="1" l="1"/>
  <c r="AB3" i="1"/>
  <c r="W50" i="2"/>
  <c r="G14" i="3" s="1"/>
  <c r="M43" i="2"/>
  <c r="E8" i="3" s="1"/>
  <c r="M46" i="2"/>
  <c r="E11" i="3" s="1"/>
  <c r="W16" i="2"/>
  <c r="M45" i="2"/>
  <c r="E10" i="3" s="1"/>
  <c r="M44" i="2"/>
  <c r="E9" i="3" s="1"/>
  <c r="D11" i="3"/>
  <c r="AC10" i="1"/>
  <c r="D13" i="3" l="1"/>
  <c r="D10" i="3"/>
  <c r="M48" i="2"/>
  <c r="E13" i="3" s="1"/>
  <c r="W17" i="2"/>
  <c r="AD10" i="1"/>
  <c r="AG10" i="1" s="1"/>
  <c r="AC11" i="1"/>
  <c r="W18" i="2" l="1"/>
  <c r="AD11" i="1"/>
  <c r="AG11" i="1" s="1"/>
  <c r="AC12" i="1"/>
  <c r="W19" i="2" l="1"/>
  <c r="AD12" i="1"/>
  <c r="AG12" i="1" s="1"/>
  <c r="AC13" i="1"/>
  <c r="W20" i="2" l="1"/>
  <c r="AD13" i="1"/>
  <c r="AG13" i="1" s="1"/>
  <c r="AC14" i="1"/>
  <c r="W21" i="2" l="1"/>
  <c r="AD14" i="1"/>
  <c r="AG14" i="1" s="1"/>
  <c r="AC15" i="1"/>
  <c r="W22" i="2" l="1"/>
  <c r="AD15" i="1"/>
  <c r="AG15" i="1" s="1"/>
  <c r="AC16" i="1"/>
  <c r="W23" i="2" l="1"/>
  <c r="AD16" i="1"/>
  <c r="AG16" i="1" s="1"/>
  <c r="AC17" i="1"/>
  <c r="W24" i="2" l="1"/>
  <c r="AD17" i="1"/>
  <c r="AG17" i="1" s="1"/>
  <c r="AC18" i="1"/>
  <c r="W25" i="2" l="1"/>
  <c r="F8" i="3"/>
  <c r="F9" i="3"/>
  <c r="AD18" i="1"/>
  <c r="AG18" i="1" s="1"/>
  <c r="AC19" i="1"/>
  <c r="AD19" i="1" s="1"/>
  <c r="W26" i="2" l="1"/>
  <c r="AG19" i="1"/>
  <c r="AG21" i="1"/>
  <c r="AG26" i="1"/>
  <c r="AG24" i="1"/>
  <c r="AG22" i="1"/>
  <c r="AG20" i="1"/>
  <c r="AG27" i="1"/>
  <c r="AG25" i="1"/>
  <c r="AG23" i="1"/>
  <c r="AB35" i="1" l="1"/>
  <c r="H11" i="3" s="1"/>
  <c r="AB33" i="1"/>
  <c r="H9" i="3" s="1"/>
  <c r="AB34" i="1"/>
  <c r="H10" i="3" s="1"/>
  <c r="W27" i="2"/>
  <c r="F11" i="3"/>
  <c r="AB40" i="1"/>
  <c r="H18" i="3" s="1"/>
  <c r="AB32" i="1"/>
  <c r="AB38" i="1"/>
  <c r="H16" i="3" s="1"/>
  <c r="AB39" i="1"/>
  <c r="H17" i="3" s="1"/>
  <c r="AB37" i="1" l="1"/>
  <c r="H13" i="3" s="1"/>
  <c r="H8" i="3"/>
  <c r="F13" i="3"/>
  <c r="F10" i="3"/>
  <c r="W29" i="2"/>
  <c r="W28" i="2"/>
  <c r="W43" i="2" l="1"/>
  <c r="G8" i="3" s="1"/>
  <c r="W46" i="2"/>
  <c r="G11" i="3" s="1"/>
  <c r="W45" i="2"/>
  <c r="G10" i="3" s="1"/>
  <c r="W44" i="2"/>
  <c r="G9" i="3" s="1"/>
  <c r="W48" i="2" l="1"/>
  <c r="G13" i="3" s="1"/>
</calcChain>
</file>

<file path=xl/sharedStrings.xml><?xml version="1.0" encoding="utf-8"?>
<sst xmlns="http://schemas.openxmlformats.org/spreadsheetml/2006/main" count="190" uniqueCount="142">
  <si>
    <t>River / Tributary:</t>
  </si>
  <si>
    <t>Crew:</t>
  </si>
  <si>
    <t xml:space="preserve">  Crew:</t>
  </si>
  <si>
    <t xml:space="preserve">Site: </t>
  </si>
  <si>
    <t xml:space="preserve">PRM: </t>
  </si>
  <si>
    <t>Date / Time:</t>
  </si>
  <si>
    <t>Length &amp; Interval:</t>
  </si>
  <si>
    <t>Field Book #</t>
  </si>
  <si>
    <t>Comments:</t>
  </si>
  <si>
    <t>Additional Comments</t>
  </si>
  <si>
    <t>Size (mm)</t>
  </si>
  <si>
    <t>Left</t>
  </si>
  <si>
    <t xml:space="preserve">Cum % </t>
  </si>
  <si>
    <t>Center</t>
  </si>
  <si>
    <t>Right</t>
  </si>
  <si>
    <t>Cum Ave</t>
  </si>
  <si>
    <t>&lt; 2</t>
  </si>
  <si>
    <t>Photo Log</t>
  </si>
  <si>
    <t>Photo #</t>
  </si>
  <si>
    <t>Description</t>
  </si>
  <si>
    <t>LEFT  COUNT</t>
  </si>
  <si>
    <t>CENTER  COUNT</t>
  </si>
  <si>
    <t>RIGHT  COUNT</t>
  </si>
  <si>
    <t>Results Analysis</t>
  </si>
  <si>
    <t>Wet -16 mm Weight</t>
  </si>
  <si>
    <t>lbs</t>
  </si>
  <si>
    <t>River:</t>
  </si>
  <si>
    <t>Dry -16 mm Weight</t>
  </si>
  <si>
    <t>g  =</t>
  </si>
  <si>
    <t>% Moisture</t>
  </si>
  <si>
    <t xml:space="preserve">  Comments:</t>
  </si>
  <si>
    <t>Field Sieve Results</t>
  </si>
  <si>
    <t>Raw</t>
  </si>
  <si>
    <t>Adjusted for Moisture</t>
  </si>
  <si>
    <t>Cumulative Weight</t>
  </si>
  <si>
    <t>% Finer Field</t>
  </si>
  <si>
    <t>%Finer Lab</t>
  </si>
  <si>
    <t>Adjusted % Finer Lab</t>
  </si>
  <si>
    <t>Compiled Resuts</t>
  </si>
  <si>
    <t>Total Sample Weight</t>
  </si>
  <si>
    <t>(1)</t>
  </si>
  <si>
    <t>(2)</t>
  </si>
  <si>
    <t>(3)</t>
  </si>
  <si>
    <t>(4)</t>
  </si>
  <si>
    <t>Bucket #</t>
  </si>
  <si>
    <t>Bucket Wt (lbs)</t>
  </si>
  <si>
    <t>Bucket + Sample (lbs)</t>
  </si>
  <si>
    <t>Sample Wt   (lbs)</t>
  </si>
  <si>
    <t>Col 3 - Col 2</t>
  </si>
  <si>
    <t xml:space="preserve">  </t>
  </si>
  <si>
    <t>Totals</t>
  </si>
  <si>
    <t>Retained Weight</t>
  </si>
  <si>
    <t>(5)</t>
  </si>
  <si>
    <t>Sieve Size (mm)</t>
  </si>
  <si>
    <t>Total Weight (lbs)           (Containers + material)</t>
  </si>
  <si>
    <t>Sediment Weight  (lbs)</t>
  </si>
  <si>
    <t>CumulativeWeight of Samples (lbs)</t>
  </si>
  <si>
    <t>Sum Vertically</t>
  </si>
  <si>
    <r>
      <t xml:space="preserve">360 </t>
    </r>
    <r>
      <rPr>
        <sz val="11"/>
        <color theme="1"/>
        <rFont val="Arial"/>
        <family val="2"/>
      </rPr>
      <t xml:space="preserve">* </t>
    </r>
  </si>
  <si>
    <r>
      <t xml:space="preserve">256 </t>
    </r>
    <r>
      <rPr>
        <sz val="11"/>
        <color theme="1"/>
        <rFont val="Arial"/>
        <family val="2"/>
      </rPr>
      <t>*</t>
    </r>
  </si>
  <si>
    <r>
      <t xml:space="preserve">180 </t>
    </r>
    <r>
      <rPr>
        <sz val="11"/>
        <color theme="1"/>
        <rFont val="Arial"/>
        <family val="2"/>
      </rPr>
      <t xml:space="preserve">* </t>
    </r>
  </si>
  <si>
    <r>
      <t xml:space="preserve">128 </t>
    </r>
    <r>
      <rPr>
        <sz val="11"/>
        <color theme="1"/>
        <rFont val="Arial"/>
        <family val="2"/>
      </rPr>
      <t xml:space="preserve">* </t>
    </r>
  </si>
  <si>
    <t>90.0*</t>
  </si>
  <si>
    <t>64.0*</t>
  </si>
  <si>
    <t>* Larger samples sorted by size using gravelometer</t>
  </si>
  <si>
    <t>Total Sample Weight - Total Retained Weight</t>
  </si>
  <si>
    <t>=</t>
  </si>
  <si>
    <t xml:space="preserve">Total Sample Weight  </t>
  </si>
  <si>
    <t xml:space="preserve">Label Bag and Tag: Date, River, PRM, Sample # (Typically only one sample per site, so sample 1), then sample type "Surface/Subsurface", "Subsurface", "Bank", "Trib Fan" or "Trib Channel" along with “Minus 16" and WP #. </t>
  </si>
  <si>
    <t>QC1:</t>
  </si>
  <si>
    <t>Photo Backup #</t>
  </si>
  <si>
    <t>Page:</t>
  </si>
  <si>
    <t>D%</t>
  </si>
  <si>
    <t>Gr</t>
  </si>
  <si>
    <t>%Gravel</t>
  </si>
  <si>
    <t>%Sand</t>
  </si>
  <si>
    <t>%Silt/Clay</t>
  </si>
  <si>
    <t>Average</t>
  </si>
  <si>
    <t>Sieve</t>
  </si>
  <si>
    <t>Combined</t>
  </si>
  <si>
    <t>Field+Lab</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</si>
  <si>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</si>
  <si>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</si>
  <si>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</si>
  <si>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</si>
  <si>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</si>
  <si>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</si>
  <si>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</si>
  <si>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</si>
  <si>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</si>
  <si>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</si>
  <si>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</si>
  <si>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</si>
  <si>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 —Electronic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</si>
  <si>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</si>
  <si>
    <t>Subsurface Field Sieve Data Sheet</t>
  </si>
  <si>
    <t xml:space="preserve">  Northing / Lat:</t>
  </si>
  <si>
    <t xml:space="preserve">  Easting / Long:</t>
  </si>
  <si>
    <t>Sample Number:</t>
  </si>
  <si>
    <t xml:space="preserve">        Excess Water (lbs)</t>
  </si>
  <si>
    <t>NOTE:</t>
  </si>
  <si>
    <t>* All photos and locations are documented</t>
  </si>
  <si>
    <t>on the Surface Sample Data Sheet</t>
  </si>
  <si>
    <t>Remainder</t>
  </si>
  <si>
    <t>Subsample    to lab</t>
  </si>
  <si>
    <t>Photo Backup:</t>
  </si>
  <si>
    <t>of</t>
  </si>
  <si>
    <t>Sample Location (PRM):</t>
  </si>
  <si>
    <t>Field Book #:</t>
  </si>
  <si>
    <t xml:space="preserve">Sample Type:    </t>
  </si>
  <si>
    <t>Main Ch Bar</t>
  </si>
  <si>
    <t>Bank</t>
  </si>
  <si>
    <t>Trib Fan</t>
  </si>
  <si>
    <t>Trib Chan</t>
  </si>
  <si>
    <t>Subsurface Sample Performed with Surface?</t>
  </si>
  <si>
    <t>Sample Type:</t>
  </si>
  <si>
    <t>Northing / Lat:</t>
  </si>
  <si>
    <t>Easting/ Long:</t>
  </si>
  <si>
    <t>n/a</t>
  </si>
  <si>
    <t>RAV</t>
  </si>
  <si>
    <t xml:space="preserve"> Container Weight (lbs)</t>
  </si>
  <si>
    <t>Count</t>
  </si>
  <si>
    <t>Surface Samples</t>
  </si>
  <si>
    <t>Surface Sample Data Sheet</t>
  </si>
  <si>
    <t>Susitna</t>
  </si>
  <si>
    <t>MDH</t>
  </si>
  <si>
    <t>S-2</t>
  </si>
  <si>
    <t>MDH, RAV, CVB, RET</t>
  </si>
  <si>
    <t>na</t>
  </si>
  <si>
    <t>410.3 - 412.2</t>
  </si>
  <si>
    <t>Y</t>
  </si>
  <si>
    <t>Main ch</t>
  </si>
  <si>
    <t>MDH, CB, RAV</t>
  </si>
  <si>
    <t>3 x 100' x 1'</t>
  </si>
  <si>
    <t>FA-173</t>
  </si>
  <si>
    <t>view u/s of undisturbed bar</t>
  </si>
  <si>
    <t>view d/s across head of wier with side chan at waypoint 3</t>
  </si>
  <si>
    <t>view d/s across the top of lateral wier at head osf side chan</t>
  </si>
  <si>
    <t>Surface atmor layer at 50' mark on cntr p/c, site of bulk sample</t>
  </si>
  <si>
    <t>excavated pit at cntr p/c 50' mark  site of bulk sample</t>
  </si>
  <si>
    <t>view u/s of cntr of p/c and bulk sample after pit is filled</t>
  </si>
  <si>
    <t>CVB</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</si>
</sst>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9" x14ac:knownFonts="1">
    <font>
      <sz val="11"/>
      <color theme="1"/>
      <name val="Calibri"/>
      <family val="2"/>
      <scheme val="minor"/>
    </font>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b/>
      <sz val="14"/>
      <color theme="1"/>
      <name val="Arial"/>
      <family val="2"/>
    </font>
    <font>
      <u/>
      <sz val="9"/>
      <color theme="1"/>
      <name val="Arial"/>
      <family val="2"/>
    </font>
    <font>
      <i/>
      <sz val="8"/>
      <color theme="1"/>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
      <i/>
      <sz val="10"/>
      <color theme="1"/>
      <name val="Arial"/>
      <family val="2"/>
    </font>
  </fonts>
  <fills count="6">
    <fill>
      <patternFill patternType="none"/>
    </fill>
    <fill>
      <patternFill patternType="gray125"/>
    </fill>
    <fill>
      <patternFill patternType="solid">
        <fgColor rgb="FF92D050"/>
        <bgColor indexed="64"/>
      </patternFill>
    </fill>
    <fill>
      <patternFill patternType="solid">
        <fgColor theme="2"/>
        <bgColor indexed="64"/>
      </patternFill>
    </fill>
    <fill>
      <patternFill patternType="solid">
        <fgColor rgb="FFFFFF00"/>
        <bgColor indexed="64"/>
      </patternFill>
    </fill>
    <fill>
      <patternFill patternType="solid">
        <fgColor theme="0" tint="-0.14999847407452621"/>
        <bgColor indexed="64"/>
      </patternFill>
    </fill>
  </fills>
  <borders count="3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206">
    <xf numFmtId="0" fontId="0" fillId="0" borderId="0" xfId="0"/>
    <xf numFmtId="0" fontId="2" fillId="0" borderId="0" xfId="0" applyFont="1"/>
    <xf numFmtId="0" fontId="3" fillId="0" borderId="0" xfId="0" applyFont="1"/>
    <xf numFmtId="0" fontId="4" fillId="0" borderId="0" xfId="0" applyFont="1" applyAlignment="1"/>
    <xf numFmtId="0" fontId="4" fillId="0" borderId="0" xfId="0" applyFont="1" applyAlignment="1">
      <alignment horizontal="center"/>
    </xf>
    <xf numFmtId="0" fontId="3" fillId="0" borderId="0" xfId="0" applyFont="1" applyAlignment="1">
      <alignment horizontal="center"/>
    </xf>
    <xf numFmtId="0" fontId="2" fillId="0" borderId="1" xfId="0" applyFont="1" applyBorder="1"/>
    <xf numFmtId="0" fontId="3" fillId="0" borderId="0" xfId="0" applyFont="1" applyBorder="1"/>
    <xf numFmtId="0" fontId="2" fillId="0" borderId="0" xfId="0" applyFont="1" applyBorder="1"/>
    <xf numFmtId="0" fontId="2" fillId="0" borderId="2" xfId="0" applyFont="1" applyBorder="1"/>
    <xf numFmtId="14" fontId="2" fillId="0" borderId="2" xfId="0" applyNumberFormat="1" applyFont="1" applyBorder="1"/>
    <xf numFmtId="20" fontId="2" fillId="0" borderId="2" xfId="0" applyNumberFormat="1" applyFont="1" applyBorder="1"/>
    <xf numFmtId="0" fontId="2" fillId="0" borderId="3" xfId="0" applyFont="1" applyBorder="1"/>
    <xf numFmtId="0" fontId="2" fillId="0" borderId="0" xfId="0" quotePrefix="1" applyFont="1"/>
    <xf numFmtId="0" fontId="2" fillId="0" borderId="2" xfId="0" quotePrefix="1" applyFont="1" applyBorder="1"/>
    <xf numFmtId="0" fontId="2" fillId="0" borderId="2" xfId="0" applyFont="1" applyBorder="1" applyAlignment="1">
      <alignment horizontal="left"/>
    </xf>
    <xf numFmtId="0" fontId="2" fillId="0" borderId="2" xfId="0" applyFont="1" applyBorder="1" applyAlignment="1">
      <alignment horizontal="center"/>
    </xf>
    <xf numFmtId="0" fontId="2" fillId="0" borderId="0" xfId="0" applyFont="1" applyBorder="1" applyAlignment="1">
      <alignment horizontal="center"/>
    </xf>
    <xf numFmtId="0" fontId="2" fillId="0" borderId="0" xfId="0" quotePrefix="1" applyFont="1" applyBorder="1"/>
    <xf numFmtId="0" fontId="2" fillId="0" borderId="1" xfId="0" quotePrefix="1" applyFont="1" applyBorder="1"/>
    <xf numFmtId="0" fontId="2" fillId="0" borderId="1" xfId="0" applyFont="1" applyBorder="1" applyAlignment="1">
      <alignment horizontal="center"/>
    </xf>
    <xf numFmtId="0" fontId="2" fillId="0" borderId="0" xfId="0" applyFont="1" applyBorder="1" applyAlignment="1">
      <alignment horizontal="right"/>
    </xf>
    <xf numFmtId="0" fontId="5" fillId="0" borderId="0" xfId="0" applyFont="1" applyFill="1" applyBorder="1" applyAlignment="1">
      <alignment horizontal="center"/>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6" xfId="0" applyFont="1" applyFill="1" applyBorder="1" applyAlignment="1">
      <alignment horizontal="right" vertical="center" wrapText="1"/>
    </xf>
    <xf numFmtId="0" fontId="2" fillId="0" borderId="4" xfId="0" applyFont="1" applyFill="1" applyBorder="1"/>
    <xf numFmtId="0" fontId="2" fillId="0" borderId="0" xfId="0" applyFont="1" applyFill="1" applyBorder="1"/>
    <xf numFmtId="0" fontId="2" fillId="0" borderId="4" xfId="0" applyFont="1" applyFill="1" applyBorder="1" applyAlignment="1">
      <alignment horizontal="right" vertical="center" wrapText="1"/>
    </xf>
    <xf numFmtId="0" fontId="8" fillId="0" borderId="0" xfId="0" applyFont="1" applyFill="1" applyBorder="1" applyAlignment="1"/>
    <xf numFmtId="0" fontId="9" fillId="0" borderId="0" xfId="0" applyFont="1" applyFill="1" applyBorder="1" applyAlignment="1"/>
    <xf numFmtId="0" fontId="2" fillId="0" borderId="0" xfId="0" quotePrefix="1" applyFont="1" applyFill="1" applyBorder="1"/>
    <xf numFmtId="0" fontId="2" fillId="0" borderId="0" xfId="0" applyFont="1" applyFill="1" applyBorder="1" applyAlignment="1"/>
    <xf numFmtId="164" fontId="2" fillId="0" borderId="0" xfId="0" applyNumberFormat="1" applyFont="1" applyFill="1" applyBorder="1"/>
    <xf numFmtId="0" fontId="10" fillId="0" borderId="0" xfId="0" applyFont="1" applyBorder="1"/>
    <xf numFmtId="0" fontId="3" fillId="0" borderId="0" xfId="0" applyFont="1" applyFill="1" applyBorder="1"/>
    <xf numFmtId="0" fontId="2" fillId="0" borderId="0" xfId="0" applyFont="1" applyFill="1" applyBorder="1" applyAlignment="1">
      <alignment horizontal="center"/>
    </xf>
    <xf numFmtId="0" fontId="9" fillId="0" borderId="13" xfId="0" applyFont="1" applyFill="1" applyBorder="1" applyAlignment="1"/>
    <xf numFmtId="0" fontId="9" fillId="0" borderId="5" xfId="0" applyFont="1" applyFill="1" applyBorder="1" applyAlignment="1"/>
    <xf numFmtId="0" fontId="9" fillId="0" borderId="16" xfId="0" applyFont="1" applyFill="1" applyBorder="1" applyAlignment="1"/>
    <xf numFmtId="0" fontId="9" fillId="0" borderId="8" xfId="0" applyFont="1" applyFill="1" applyBorder="1" applyAlignment="1"/>
    <xf numFmtId="0" fontId="2" fillId="0" borderId="0" xfId="0" applyFont="1" applyAlignment="1">
      <alignment horizontal="right"/>
    </xf>
    <xf numFmtId="0" fontId="2" fillId="0" borderId="0" xfId="0" applyFont="1" applyBorder="1" applyAlignment="1">
      <alignment horizontal="center" vertical="center"/>
    </xf>
    <xf numFmtId="0" fontId="9" fillId="0" borderId="18" xfId="0" applyFont="1" applyFill="1" applyBorder="1" applyAlignment="1"/>
    <xf numFmtId="0" fontId="9" fillId="0" borderId="11" xfId="0" applyFont="1" applyFill="1" applyBorder="1" applyAlignment="1"/>
    <xf numFmtId="0" fontId="9" fillId="0" borderId="19" xfId="0" applyFont="1" applyFill="1" applyBorder="1" applyAlignment="1"/>
    <xf numFmtId="0" fontId="9" fillId="0" borderId="20" xfId="0" applyFont="1" applyFill="1" applyBorder="1" applyAlignment="1"/>
    <xf numFmtId="0" fontId="12" fillId="0" borderId="0" xfId="0" applyFont="1" applyFill="1" applyBorder="1" applyAlignment="1"/>
    <xf numFmtId="0" fontId="2" fillId="0" borderId="0" xfId="0" applyFont="1" applyFill="1" applyBorder="1" applyAlignment="1">
      <alignment horizontal="left"/>
    </xf>
    <xf numFmtId="164" fontId="2" fillId="0" borderId="0" xfId="0" applyNumberFormat="1" applyFont="1"/>
    <xf numFmtId="0" fontId="2" fillId="2" borderId="0" xfId="0" applyFont="1" applyFill="1"/>
    <xf numFmtId="2" fontId="2" fillId="0" borderId="0" xfId="0" applyNumberFormat="1" applyFont="1"/>
    <xf numFmtId="20" fontId="2" fillId="0" borderId="2" xfId="0" applyNumberFormat="1" applyFont="1" applyBorder="1" applyAlignment="1">
      <alignment horizontal="center"/>
    </xf>
    <xf numFmtId="9" fontId="2" fillId="0" borderId="0" xfId="1" applyFont="1"/>
    <xf numFmtId="0" fontId="2" fillId="0" borderId="4" xfId="0" applyFont="1" applyBorder="1" applyAlignment="1">
      <alignment horizontal="center" wrapText="1"/>
    </xf>
    <xf numFmtId="0" fontId="2" fillId="0" borderId="4" xfId="0" applyFont="1" applyBorder="1" applyAlignment="1">
      <alignment horizontal="center" vertical="center" wrapText="1"/>
    </xf>
    <xf numFmtId="0" fontId="2" fillId="0" borderId="4" xfId="0" applyFont="1" applyBorder="1"/>
    <xf numFmtId="9" fontId="2" fillId="0" borderId="4" xfId="1" applyFont="1" applyBorder="1"/>
    <xf numFmtId="0" fontId="2" fillId="3" borderId="4" xfId="0" applyFont="1" applyFill="1" applyBorder="1"/>
    <xf numFmtId="43" fontId="2" fillId="0" borderId="4" xfId="0" applyNumberFormat="1" applyFont="1" applyBorder="1"/>
    <xf numFmtId="164" fontId="2" fillId="0" borderId="4" xfId="0" applyNumberFormat="1" applyFont="1" applyBorder="1"/>
    <xf numFmtId="0" fontId="2" fillId="0" borderId="24" xfId="0" quotePrefix="1" applyFont="1" applyBorder="1" applyAlignment="1">
      <alignment horizontal="center"/>
    </xf>
    <xf numFmtId="0" fontId="2" fillId="0" borderId="24" xfId="0" applyFont="1" applyBorder="1" applyAlignment="1">
      <alignment horizontal="center" vertical="center"/>
    </xf>
    <xf numFmtId="0" fontId="2" fillId="0" borderId="24" xfId="0" applyFont="1" applyBorder="1" applyAlignment="1">
      <alignment horizontal="center" vertical="center" wrapText="1"/>
    </xf>
    <xf numFmtId="0" fontId="2" fillId="0" borderId="2" xfId="0" quotePrefix="1" applyFont="1" applyBorder="1" applyAlignment="1">
      <alignment horizontal="right"/>
    </xf>
    <xf numFmtId="0" fontId="13" fillId="0" borderId="4" xfId="0" applyFont="1" applyBorder="1" applyAlignment="1">
      <alignment horizontal="center" vertical="center" wrapText="1"/>
    </xf>
    <xf numFmtId="0" fontId="2" fillId="0" borderId="4" xfId="0" applyFont="1" applyBorder="1" applyAlignment="1">
      <alignment horizontal="center" vertical="center"/>
    </xf>
    <xf numFmtId="164" fontId="2" fillId="0" borderId="4" xfId="0" applyNumberFormat="1" applyFont="1" applyBorder="1" applyAlignment="1">
      <alignment horizontal="center"/>
    </xf>
    <xf numFmtId="164" fontId="2" fillId="0" borderId="1" xfId="0" applyNumberFormat="1" applyFont="1" applyBorder="1"/>
    <xf numFmtId="0" fontId="2" fillId="0" borderId="0" xfId="0" applyFont="1" applyBorder="1" applyAlignment="1">
      <alignment vertical="center"/>
    </xf>
    <xf numFmtId="0" fontId="2" fillId="2" borderId="4" xfId="0" applyFont="1" applyFill="1" applyBorder="1"/>
    <xf numFmtId="0" fontId="2" fillId="0" borderId="4" xfId="0" applyFont="1" applyBorder="1" applyAlignment="1">
      <alignment horizontal="center"/>
    </xf>
    <xf numFmtId="0" fontId="2" fillId="0" borderId="0" xfId="0" applyFont="1" applyBorder="1" applyAlignment="1"/>
    <xf numFmtId="0" fontId="2" fillId="0" borderId="0" xfId="0" applyFont="1" applyAlignment="1">
      <alignment horizontal="center" vertical="top"/>
    </xf>
    <xf numFmtId="0" fontId="2" fillId="0" borderId="0" xfId="0" applyFont="1" applyBorder="1" applyAlignment="1">
      <alignment horizontal="right" vertical="center"/>
    </xf>
    <xf numFmtId="0" fontId="2" fillId="0" borderId="4" xfId="0" quotePrefix="1" applyFont="1" applyBorder="1" applyAlignment="1">
      <alignment horizontal="center"/>
    </xf>
    <xf numFmtId="0" fontId="2" fillId="0" borderId="4" xfId="0" applyFont="1" applyFill="1" applyBorder="1" applyAlignment="1">
      <alignment horizontal="center" vertical="center" wrapText="1"/>
    </xf>
    <xf numFmtId="0" fontId="2" fillId="0" borderId="0" xfId="0" applyFont="1" applyBorder="1" applyAlignment="1">
      <alignment horizontal="center" vertical="center" wrapText="1"/>
    </xf>
    <xf numFmtId="0" fontId="10" fillId="0" borderId="0" xfId="0" applyFont="1"/>
    <xf numFmtId="164" fontId="2" fillId="0" borderId="4" xfId="0" applyNumberFormat="1" applyFont="1" applyBorder="1" applyAlignment="1">
      <alignment horizontal="center" vertical="center" wrapText="1"/>
    </xf>
    <xf numFmtId="164" fontId="2" fillId="0" borderId="4" xfId="0" quotePrefix="1" applyNumberFormat="1" applyFont="1" applyBorder="1" applyAlignment="1">
      <alignment horizontal="center"/>
    </xf>
    <xf numFmtId="0" fontId="14" fillId="0" borderId="0" xfId="0" applyFont="1"/>
    <xf numFmtId="0" fontId="2" fillId="0" borderId="1" xfId="0" quotePrefix="1" applyFont="1" applyBorder="1" applyAlignment="1">
      <alignment horizontal="center"/>
    </xf>
    <xf numFmtId="0" fontId="2" fillId="0" borderId="0" xfId="0" quotePrefix="1" applyFont="1" applyAlignment="1">
      <alignment horizontal="center"/>
    </xf>
    <xf numFmtId="165" fontId="2" fillId="0" borderId="1" xfId="1" applyNumberFormat="1" applyFont="1" applyBorder="1"/>
    <xf numFmtId="0" fontId="16" fillId="0" borderId="0" xfId="0" applyFont="1" applyFill="1"/>
    <xf numFmtId="0" fontId="14" fillId="0" borderId="0" xfId="0" applyFont="1" applyAlignment="1">
      <alignment vertical="top" wrapText="1"/>
    </xf>
    <xf numFmtId="0" fontId="9" fillId="0" borderId="1" xfId="0" applyFont="1" applyBorder="1"/>
    <xf numFmtId="165" fontId="2" fillId="4" borderId="0" xfId="1" applyNumberFormat="1" applyFont="1" applyFill="1"/>
    <xf numFmtId="164" fontId="2" fillId="4" borderId="4" xfId="0" applyNumberFormat="1" applyFont="1" applyFill="1" applyBorder="1" applyAlignment="1">
      <alignment horizontal="left"/>
    </xf>
    <xf numFmtId="164" fontId="2" fillId="4" borderId="4" xfId="0" quotePrefix="1" applyNumberFormat="1" applyFont="1" applyFill="1" applyBorder="1" applyAlignment="1">
      <alignment horizontal="left"/>
    </xf>
    <xf numFmtId="0" fontId="2" fillId="4" borderId="4" xfId="0" applyFont="1" applyFill="1" applyBorder="1" applyAlignment="1">
      <alignment horizontal="left"/>
    </xf>
    <xf numFmtId="0" fontId="0" fillId="4" borderId="0" xfId="0" applyFill="1" applyAlignment="1">
      <alignment horizontal="center"/>
    </xf>
    <xf numFmtId="164" fontId="0" fillId="4" borderId="0" xfId="0" applyNumberFormat="1" applyFill="1" applyAlignment="1">
      <alignment horizontal="center"/>
    </xf>
    <xf numFmtId="0" fontId="0" fillId="4" borderId="0" xfId="0" applyFill="1"/>
    <xf numFmtId="0" fontId="2" fillId="4" borderId="0" xfId="0" applyFont="1" applyFill="1" applyBorder="1"/>
    <xf numFmtId="0" fontId="3" fillId="4" borderId="0" xfId="0" applyFont="1" applyFill="1" applyBorder="1"/>
    <xf numFmtId="2" fontId="2" fillId="4" borderId="0" xfId="0" applyNumberFormat="1" applyFont="1" applyFill="1" applyBorder="1"/>
    <xf numFmtId="0" fontId="0" fillId="0" borderId="0" xfId="0" applyAlignment="1">
      <alignment vertical="center"/>
    </xf>
    <xf numFmtId="0" fontId="0" fillId="4" borderId="0" xfId="0" applyFill="1" applyAlignment="1">
      <alignment horizontal="center"/>
    </xf>
    <xf numFmtId="164" fontId="2" fillId="0" borderId="4" xfId="0" applyNumberFormat="1" applyFont="1" applyFill="1" applyBorder="1" applyAlignment="1">
      <alignment horizontal="center"/>
    </xf>
    <xf numFmtId="0" fontId="2" fillId="0" borderId="0" xfId="0" applyFont="1" applyBorder="1" applyAlignment="1">
      <alignment horizontal="center" vertical="top"/>
    </xf>
    <xf numFmtId="0" fontId="2" fillId="0" borderId="0" xfId="0" applyFont="1" applyBorder="1" applyAlignment="1">
      <alignment vertical="top"/>
    </xf>
    <xf numFmtId="0" fontId="7" fillId="0" borderId="25" xfId="0" applyFont="1" applyBorder="1" applyAlignment="1">
      <alignment horizontal="center" vertical="center"/>
    </xf>
    <xf numFmtId="0" fontId="2" fillId="4" borderId="13" xfId="0" quotePrefix="1" applyFont="1" applyFill="1" applyBorder="1" applyAlignment="1">
      <alignment horizontal="center" vertical="center"/>
    </xf>
    <xf numFmtId="0" fontId="2" fillId="4" borderId="6" xfId="0" applyFont="1" applyFill="1" applyBorder="1" applyAlignment="1">
      <alignment horizontal="right" vertical="center" wrapText="1"/>
    </xf>
    <xf numFmtId="0" fontId="2" fillId="4" borderId="6" xfId="0" quotePrefix="1" applyFont="1" applyFill="1" applyBorder="1" applyAlignment="1">
      <alignment horizontal="center" vertical="center"/>
    </xf>
    <xf numFmtId="164" fontId="2" fillId="0" borderId="7" xfId="0" applyNumberFormat="1" applyFont="1" applyFill="1" applyBorder="1"/>
    <xf numFmtId="0" fontId="2" fillId="4" borderId="16" xfId="0" quotePrefix="1" applyFont="1" applyFill="1" applyBorder="1" applyAlignment="1">
      <alignment horizontal="center" vertical="center"/>
    </xf>
    <xf numFmtId="0" fontId="2" fillId="4" borderId="4" xfId="0" applyFont="1" applyFill="1" applyBorder="1" applyAlignment="1">
      <alignment horizontal="right" vertical="center" wrapText="1"/>
    </xf>
    <xf numFmtId="0" fontId="2" fillId="4" borderId="4" xfId="0" quotePrefix="1" applyFont="1" applyFill="1" applyBorder="1" applyAlignment="1">
      <alignment horizontal="center" vertical="center"/>
    </xf>
    <xf numFmtId="164" fontId="2" fillId="0" borderId="9" xfId="0" applyNumberFormat="1" applyFont="1" applyFill="1" applyBorder="1"/>
    <xf numFmtId="0" fontId="2" fillId="4" borderId="16" xfId="0" applyFont="1" applyFill="1" applyBorder="1" applyAlignment="1">
      <alignment horizontal="center" vertical="center"/>
    </xf>
    <xf numFmtId="0" fontId="2" fillId="4" borderId="4" xfId="0" applyFont="1" applyFill="1" applyBorder="1" applyAlignment="1">
      <alignment horizontal="center" vertical="center"/>
    </xf>
    <xf numFmtId="164" fontId="2" fillId="4" borderId="16" xfId="0" quotePrefix="1" applyNumberFormat="1" applyFont="1" applyFill="1" applyBorder="1" applyAlignment="1">
      <alignment horizontal="center" vertical="center"/>
    </xf>
    <xf numFmtId="164" fontId="2" fillId="4" borderId="4" xfId="0" quotePrefix="1" applyNumberFormat="1" applyFont="1" applyFill="1" applyBorder="1" applyAlignment="1">
      <alignment horizontal="center" vertical="center"/>
    </xf>
    <xf numFmtId="0" fontId="2" fillId="4" borderId="18" xfId="0" applyFont="1" applyFill="1" applyBorder="1" applyAlignment="1">
      <alignment horizontal="center" vertical="center"/>
    </xf>
    <xf numFmtId="0" fontId="2" fillId="4" borderId="12" xfId="0" applyFont="1" applyFill="1" applyBorder="1" applyAlignment="1">
      <alignment horizontal="center" vertical="center"/>
    </xf>
    <xf numFmtId="164" fontId="2" fillId="0" borderId="29" xfId="0" applyNumberFormat="1" applyFont="1" applyFill="1" applyBorder="1"/>
    <xf numFmtId="0" fontId="7" fillId="0" borderId="0"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right"/>
    </xf>
    <xf numFmtId="0" fontId="2" fillId="0" borderId="3" xfId="0" applyFont="1" applyBorder="1" applyAlignment="1">
      <alignment horizontal="right"/>
    </xf>
    <xf numFmtId="0" fontId="14" fillId="0" borderId="0" xfId="0" applyFont="1" applyBorder="1" applyAlignment="1">
      <alignment horizontal="left"/>
    </xf>
    <xf numFmtId="164" fontId="2" fillId="0" borderId="0" xfId="0" applyNumberFormat="1" applyFont="1" applyBorder="1"/>
    <xf numFmtId="0" fontId="18" fillId="0" borderId="0" xfId="0" applyFont="1" applyBorder="1"/>
    <xf numFmtId="0" fontId="18" fillId="0" borderId="0" xfId="0" applyFont="1" applyBorder="1" applyAlignment="1">
      <alignment vertical="center"/>
    </xf>
    <xf numFmtId="0" fontId="4" fillId="0" borderId="0" xfId="0" applyFont="1" applyAlignment="1">
      <alignment horizontal="center"/>
    </xf>
    <xf numFmtId="0" fontId="2" fillId="0" borderId="0" xfId="0" applyFont="1" applyFill="1" applyBorder="1" applyAlignment="1">
      <alignment horizontal="center"/>
    </xf>
    <xf numFmtId="0" fontId="2" fillId="0" borderId="31" xfId="0" applyFont="1" applyFill="1" applyBorder="1"/>
    <xf numFmtId="0" fontId="2" fillId="0" borderId="31" xfId="0" applyFont="1" applyBorder="1"/>
    <xf numFmtId="0" fontId="2" fillId="0" borderId="31" xfId="0" applyFont="1" applyBorder="1" applyAlignment="1">
      <alignment horizontal="right"/>
    </xf>
    <xf numFmtId="0" fontId="2" fillId="0" borderId="0" xfId="0" applyFont="1" applyAlignment="1">
      <alignment horizontal="left"/>
    </xf>
    <xf numFmtId="0" fontId="2" fillId="0" borderId="1" xfId="0" applyFont="1" applyFill="1" applyBorder="1"/>
    <xf numFmtId="0" fontId="2" fillId="0" borderId="2" xfId="0" applyFont="1" applyBorder="1" applyAlignment="1">
      <alignment horizontal="center" vertical="center"/>
    </xf>
    <xf numFmtId="0" fontId="2" fillId="0" borderId="0" xfId="0" quotePrefix="1" applyFont="1" applyAlignment="1">
      <alignment horizontal="center" vertical="center"/>
    </xf>
    <xf numFmtId="0" fontId="2" fillId="0" borderId="2" xfId="0" applyFont="1" applyBorder="1" applyAlignment="1"/>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10" xfId="0" applyFont="1" applyFill="1" applyBorder="1" applyAlignment="1">
      <alignment horizontal="left"/>
    </xf>
    <xf numFmtId="0" fontId="2" fillId="0" borderId="2" xfId="0" applyFont="1" applyFill="1" applyBorder="1" applyAlignment="1">
      <alignment horizontal="left"/>
    </xf>
    <xf numFmtId="0" fontId="2" fillId="0" borderId="8" xfId="0" applyFont="1" applyFill="1" applyBorder="1" applyAlignment="1">
      <alignment horizontal="left"/>
    </xf>
    <xf numFmtId="164" fontId="2" fillId="0" borderId="2" xfId="0" applyNumberFormat="1" applyFont="1" applyBorder="1"/>
    <xf numFmtId="0" fontId="2" fillId="0" borderId="4" xfId="0" applyFont="1" applyFill="1" applyBorder="1" applyAlignment="1">
      <alignment horizontal="center" vertical="center"/>
    </xf>
    <xf numFmtId="0" fontId="2" fillId="0" borderId="4" xfId="0" applyFont="1" applyFill="1" applyBorder="1" applyAlignment="1">
      <alignment horizontal="center" wrapText="1"/>
    </xf>
    <xf numFmtId="0" fontId="2" fillId="0" borderId="24" xfId="0" applyFont="1" applyBorder="1" applyAlignment="1">
      <alignment horizontal="center"/>
    </xf>
    <xf numFmtId="164" fontId="2" fillId="0" borderId="24" xfId="0" applyNumberFormat="1" applyFont="1" applyBorder="1" applyAlignment="1">
      <alignment horizontal="center"/>
    </xf>
    <xf numFmtId="0" fontId="2" fillId="0" borderId="32" xfId="0" applyFont="1" applyBorder="1" applyAlignment="1">
      <alignment horizontal="center"/>
    </xf>
    <xf numFmtId="164" fontId="2" fillId="0" borderId="32" xfId="0" applyNumberFormat="1" applyFont="1" applyBorder="1" applyAlignment="1">
      <alignment horizontal="center"/>
    </xf>
    <xf numFmtId="164" fontId="2" fillId="5" borderId="24" xfId="0" applyNumberFormat="1" applyFont="1" applyFill="1" applyBorder="1" applyAlignment="1">
      <alignment horizontal="center"/>
    </xf>
    <xf numFmtId="164" fontId="2" fillId="0" borderId="10" xfId="0" applyNumberFormat="1" applyFont="1" applyFill="1" applyBorder="1" applyAlignment="1">
      <alignment horizontal="center" vertical="center"/>
    </xf>
    <xf numFmtId="0" fontId="2" fillId="0" borderId="32" xfId="0" applyFont="1" applyBorder="1" applyAlignment="1">
      <alignment horizontal="center" vertical="center" wrapText="1"/>
    </xf>
    <xf numFmtId="0" fontId="2" fillId="0" borderId="32" xfId="0" applyFont="1" applyFill="1" applyBorder="1" applyAlignment="1">
      <alignment horizontal="center" vertical="center" wrapText="1"/>
    </xf>
    <xf numFmtId="164" fontId="2" fillId="0" borderId="33" xfId="0" applyNumberFormat="1" applyFont="1" applyFill="1" applyBorder="1" applyAlignment="1">
      <alignment horizontal="center"/>
    </xf>
    <xf numFmtId="0" fontId="2" fillId="4" borderId="34" xfId="0" applyFont="1" applyFill="1" applyBorder="1" applyAlignment="1">
      <alignment horizontal="center" vertical="center"/>
    </xf>
    <xf numFmtId="0" fontId="2" fillId="0" borderId="25" xfId="0" applyFont="1" applyFill="1" applyBorder="1" applyAlignment="1">
      <alignment horizontal="right" vertical="center" wrapText="1"/>
    </xf>
    <xf numFmtId="0" fontId="2" fillId="4" borderId="25" xfId="0" applyFont="1" applyFill="1" applyBorder="1" applyAlignment="1">
      <alignment horizontal="right" vertical="center" wrapText="1"/>
    </xf>
    <xf numFmtId="0" fontId="2" fillId="4" borderId="25" xfId="0" applyFont="1" applyFill="1" applyBorder="1" applyAlignment="1">
      <alignment horizontal="center" vertical="center"/>
    </xf>
    <xf numFmtId="164" fontId="2" fillId="0" borderId="37" xfId="0" applyNumberFormat="1" applyFont="1" applyFill="1" applyBorder="1"/>
    <xf numFmtId="0" fontId="2" fillId="0" borderId="12" xfId="0" applyFont="1" applyFill="1" applyBorder="1" applyAlignment="1">
      <alignment horizontal="right" vertical="center" wrapText="1"/>
    </xf>
    <xf numFmtId="0" fontId="2" fillId="4" borderId="12" xfId="0" applyFont="1" applyFill="1" applyBorder="1" applyAlignment="1">
      <alignment horizontal="right" vertical="center" wrapText="1"/>
    </xf>
    <xf numFmtId="0" fontId="2" fillId="0" borderId="19" xfId="0" applyFont="1" applyFill="1" applyBorder="1" applyAlignment="1">
      <alignment vertical="center" wrapText="1"/>
    </xf>
    <xf numFmtId="0" fontId="2" fillId="0" borderId="30" xfId="0" applyFont="1" applyFill="1" applyBorder="1" applyAlignment="1">
      <alignment vertical="center" wrapText="1"/>
    </xf>
    <xf numFmtId="0" fontId="2" fillId="0" borderId="11" xfId="0" applyFont="1" applyFill="1" applyBorder="1" applyAlignment="1">
      <alignment vertical="center" wrapText="1"/>
    </xf>
    <xf numFmtId="0" fontId="2" fillId="0" borderId="4" xfId="0" applyFont="1" applyFill="1" applyBorder="1" applyAlignment="1"/>
    <xf numFmtId="164" fontId="2" fillId="4" borderId="0" xfId="0" applyNumberFormat="1" applyFont="1" applyFill="1"/>
    <xf numFmtId="0" fontId="15" fillId="0" borderId="0" xfId="0" applyFont="1" applyBorder="1" applyAlignment="1">
      <alignment horizontal="center"/>
    </xf>
    <xf numFmtId="0" fontId="17" fillId="0" borderId="0" xfId="0" applyFont="1" applyAlignment="1">
      <alignment horizontal="center" vertical="top"/>
    </xf>
    <xf numFmtId="0" fontId="14" fillId="0" borderId="0" xfId="0" applyFont="1" applyAlignment="1">
      <alignment horizontal="left" vertical="top" wrapText="1"/>
    </xf>
    <xf numFmtId="0" fontId="4" fillId="0" borderId="0" xfId="0" applyFont="1" applyAlignment="1">
      <alignment horizontal="center"/>
    </xf>
    <xf numFmtId="0" fontId="2" fillId="0" borderId="26" xfId="0" applyFont="1" applyBorder="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11" fillId="0" borderId="21" xfId="0" applyFont="1" applyBorder="1" applyAlignment="1">
      <alignment horizontal="center"/>
    </xf>
    <xf numFmtId="0" fontId="11" fillId="0" borderId="22" xfId="0" applyFont="1" applyBorder="1" applyAlignment="1">
      <alignment horizontal="center"/>
    </xf>
    <xf numFmtId="0" fontId="11" fillId="0" borderId="23" xfId="0" applyFont="1" applyBorder="1" applyAlignment="1">
      <alignment horizontal="center"/>
    </xf>
    <xf numFmtId="0" fontId="11" fillId="0" borderId="10" xfId="0" applyFont="1" applyBorder="1" applyAlignment="1">
      <alignment horizontal="center" vertical="center"/>
    </xf>
    <xf numFmtId="0" fontId="11" fillId="0" borderId="2" xfId="0" applyFont="1" applyBorder="1" applyAlignment="1">
      <alignment horizontal="center" vertical="center"/>
    </xf>
    <xf numFmtId="0" fontId="9" fillId="0" borderId="19" xfId="0" applyFont="1" applyFill="1" applyBorder="1" applyAlignment="1">
      <alignment horizontal="center"/>
    </xf>
    <xf numFmtId="0" fontId="9" fillId="0" borderId="20" xfId="0" applyFont="1" applyFill="1" applyBorder="1" applyAlignment="1">
      <alignment horizontal="center"/>
    </xf>
    <xf numFmtId="0" fontId="2" fillId="0" borderId="0"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0" xfId="0" applyFont="1" applyFill="1" applyBorder="1" applyAlignment="1">
      <alignment horizontal="center"/>
    </xf>
    <xf numFmtId="0" fontId="2" fillId="0" borderId="10" xfId="0" applyFont="1" applyFill="1" applyBorder="1" applyAlignment="1">
      <alignment horizontal="left"/>
    </xf>
    <xf numFmtId="0" fontId="2" fillId="0" borderId="2" xfId="0" applyFont="1" applyFill="1" applyBorder="1" applyAlignment="1">
      <alignment horizontal="left"/>
    </xf>
    <xf numFmtId="0" fontId="2" fillId="0" borderId="8" xfId="0" applyFont="1" applyFill="1" applyBorder="1" applyAlignment="1">
      <alignment horizontal="left"/>
    </xf>
    <xf numFmtId="0" fontId="9" fillId="0" borderId="10" xfId="0" applyFont="1" applyFill="1" applyBorder="1" applyAlignment="1">
      <alignment horizontal="center"/>
    </xf>
    <xf numFmtId="0" fontId="9" fillId="0" borderId="17" xfId="0" applyFont="1" applyFill="1" applyBorder="1" applyAlignment="1">
      <alignment horizontal="center"/>
    </xf>
    <xf numFmtId="0" fontId="9" fillId="0" borderId="14" xfId="0" applyFont="1" applyFill="1" applyBorder="1" applyAlignment="1">
      <alignment horizontal="center"/>
    </xf>
    <xf numFmtId="0" fontId="9" fillId="0" borderId="15" xfId="0" applyFont="1" applyFill="1" applyBorder="1" applyAlignment="1">
      <alignment horizontal="center"/>
    </xf>
    <xf numFmtId="0" fontId="2" fillId="0" borderId="4" xfId="0" applyFont="1" applyFill="1" applyBorder="1" applyAlignment="1">
      <alignment horizontal="center" vertical="center" wrapText="1"/>
    </xf>
    <xf numFmtId="0" fontId="2" fillId="0" borderId="4" xfId="0" applyFont="1" applyFill="1" applyBorder="1" applyAlignment="1">
      <alignment horizontal="left"/>
    </xf>
    <xf numFmtId="0" fontId="2" fillId="0" borderId="19"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horizontal="left"/>
    </xf>
    <xf numFmtId="0" fontId="2" fillId="0" borderId="27" xfId="0" applyFont="1" applyBorder="1" applyAlignment="1">
      <alignment horizontal="left"/>
    </xf>
    <xf numFmtId="0" fontId="2" fillId="0" borderId="2" xfId="0" applyFont="1" applyBorder="1" applyAlignment="1">
      <alignment horizontal="left"/>
    </xf>
    <xf numFmtId="0" fontId="5" fillId="0" borderId="0" xfId="0" applyFont="1" applyFill="1" applyBorder="1" applyAlignment="1">
      <alignment horizontal="center"/>
    </xf>
    <xf numFmtId="0" fontId="6" fillId="0" borderId="0" xfId="0" applyFont="1" applyFill="1" applyBorder="1" applyAlignment="1">
      <alignment horizontal="center" vertical="center"/>
    </xf>
    <xf numFmtId="0" fontId="2" fillId="0" borderId="1" xfId="0" applyFont="1" applyBorder="1" applyAlignment="1">
      <alignment horizontal="left"/>
    </xf>
    <xf numFmtId="0" fontId="2" fillId="0" borderId="6" xfId="0" applyFont="1" applyFill="1" applyBorder="1" applyAlignment="1">
      <alignment horizontal="center" vertical="center" wrapText="1"/>
    </xf>
    <xf numFmtId="0" fontId="0" fillId="4" borderId="0" xfId="0"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chartsheet" Target="chartsheets/sheet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PRM 174.4</a:t>
            </a:r>
            <a:endParaRPr lang="en-US"/>
          </a:p>
        </c:rich>
      </c:tx>
      <c:layout>
        <c:manualLayout>
          <c:xMode val="edge"/>
          <c:yMode val="edge"/>
          <c:x val="0.35708416082052835"/>
          <c:y val="2.8337672139317521E-2"/>
        </c:manualLayout>
      </c:layout>
      <c:overlay val="1"/>
      <c:spPr>
        <a:noFill/>
      </c:spPr>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Ref>
              <c:f>'[1]Sed Gradation Lines'!$I$12:$I$14</c:f>
              <c:numCache>
                <c:formatCode>General</c:formatCode>
                <c:ptCount val="3"/>
                <c:pt idx="0">
                  <c:v>0.6</c:v>
                </c:pt>
                <c:pt idx="1">
                  <c:v>0.6</c:v>
                </c:pt>
                <c:pt idx="2">
                  <c:v>0.6</c:v>
                </c:pt>
              </c:numCache>
            </c:numRef>
          </c:xVal>
          <c:yVal>
            <c:numRef>
              <c:f>'[1]Sed Gradation Lines'!$J$12:$J$14</c:f>
              <c:numCache>
                <c:formatCode>General</c:formatCode>
                <c:ptCount val="3"/>
                <c:pt idx="0">
                  <c:v>0</c:v>
                </c:pt>
                <c:pt idx="1">
                  <c:v>50</c:v>
                </c:pt>
                <c:pt idx="2">
                  <c:v>100</c:v>
                </c:pt>
              </c:numCache>
            </c:numRef>
          </c:yVal>
          <c:smooth val="0"/>
        </c:ser>
        <c:ser>
          <c:idx val="15"/>
          <c:order val="1"/>
          <c:tx>
            <c:v>#50</c:v>
          </c:tx>
          <c:spPr>
            <a:ln w="3175">
              <a:solidFill>
                <a:srgbClr val="000000"/>
              </a:solidFill>
              <a:prstDash val="sysDash"/>
            </a:ln>
          </c:spPr>
          <c:marker>
            <c:symbol val="none"/>
          </c:marker>
          <c:xVal>
            <c:numRef>
              <c:f>'[1]Sed Gradation Lines'!$I$20:$I$22</c:f>
              <c:numCache>
                <c:formatCode>General</c:formatCode>
                <c:ptCount val="3"/>
                <c:pt idx="0">
                  <c:v>0.3</c:v>
                </c:pt>
                <c:pt idx="1">
                  <c:v>0.3</c:v>
                </c:pt>
                <c:pt idx="2">
                  <c:v>0.3</c:v>
                </c:pt>
              </c:numCache>
            </c:numRef>
          </c:xVal>
          <c:yVal>
            <c:numRef>
              <c:f>'[1]Sed Gradation Lines'!$J$20:$J$22</c:f>
              <c:numCache>
                <c:formatCode>General</c:formatCode>
                <c:ptCount val="3"/>
                <c:pt idx="0">
                  <c:v>0</c:v>
                </c:pt>
                <c:pt idx="1">
                  <c:v>50</c:v>
                </c:pt>
                <c:pt idx="2">
                  <c:v>100</c:v>
                </c:pt>
              </c:numCache>
            </c:numRef>
          </c:yVal>
          <c:smooth val="0"/>
        </c:ser>
        <c:ser>
          <c:idx val="5"/>
          <c:order val="2"/>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6"/>
          <c:order val="3"/>
          <c:spPr>
            <a:ln w="25400">
              <a:solidFill>
                <a:srgbClr val="000000"/>
              </a:solidFill>
              <a:prstDash val="sysDash"/>
            </a:ln>
          </c:spPr>
          <c:marker>
            <c:symbol val="none"/>
          </c:marker>
          <c:xVal>
            <c:numRef>
              <c:f>'[1]Sed Gradation Lines'!$O$17:$O$19</c:f>
              <c:numCache>
                <c:formatCode>General</c:formatCode>
                <c:ptCount val="3"/>
                <c:pt idx="0">
                  <c:v>0.5</c:v>
                </c:pt>
                <c:pt idx="1">
                  <c:v>0.5</c:v>
                </c:pt>
                <c:pt idx="2">
                  <c:v>0.5</c:v>
                </c:pt>
              </c:numCache>
            </c:numRef>
          </c:xVal>
          <c:yVal>
            <c:numRef>
              <c:f>'[1]Sed Gradation Lines'!$P$17:$P$19</c:f>
              <c:numCache>
                <c:formatCode>General</c:formatCode>
                <c:ptCount val="3"/>
                <c:pt idx="0">
                  <c:v>0</c:v>
                </c:pt>
                <c:pt idx="1">
                  <c:v>50</c:v>
                </c:pt>
                <c:pt idx="2">
                  <c:v>100</c:v>
                </c:pt>
              </c:numCache>
            </c:numRef>
          </c:yVal>
          <c:smooth val="0"/>
        </c:ser>
        <c:ser>
          <c:idx val="7"/>
          <c:order val="4"/>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8"/>
          <c:order val="5"/>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9"/>
          <c:order val="6"/>
          <c:spPr>
            <a:ln w="25400">
              <a:solidFill>
                <a:srgbClr val="000000"/>
              </a:solidFill>
              <a:prstDash val="sysDash"/>
            </a:ln>
          </c:spPr>
          <c:marker>
            <c:symbol val="none"/>
          </c:marker>
          <c:xVal>
            <c:numRef>
              <c:f>'[1]Sed Gradation Lines'!$O$25:$O$27</c:f>
              <c:numCache>
                <c:formatCode>General</c:formatCode>
                <c:ptCount val="3"/>
                <c:pt idx="0">
                  <c:v>6.2E-2</c:v>
                </c:pt>
                <c:pt idx="1">
                  <c:v>6.2E-2</c:v>
                </c:pt>
                <c:pt idx="2">
                  <c:v>6.2E-2</c:v>
                </c:pt>
              </c:numCache>
            </c:numRef>
          </c:xVal>
          <c:yVal>
            <c:numRef>
              <c:f>'[1]Sed Gradation Lines'!$P$25:$P$27</c:f>
              <c:numCache>
                <c:formatCode>General</c:formatCode>
                <c:ptCount val="3"/>
                <c:pt idx="0">
                  <c:v>0</c:v>
                </c:pt>
                <c:pt idx="1">
                  <c:v>50</c:v>
                </c:pt>
                <c:pt idx="2">
                  <c:v>100</c:v>
                </c:pt>
              </c:numCache>
            </c:numRef>
          </c:yVal>
          <c:smooth val="0"/>
        </c:ser>
        <c:ser>
          <c:idx val="3"/>
          <c:order val="7"/>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12"/>
          <c:order val="8"/>
          <c:spPr>
            <a:ln>
              <a:solidFill>
                <a:schemeClr val="tx1"/>
              </a:solidFill>
              <a:prstDash val="sysDash"/>
            </a:ln>
          </c:spPr>
          <c:marker>
            <c:symbol val="none"/>
          </c:marker>
          <c:xVal>
            <c:numRef>
              <c:f>'[1]Sed Gradation Lines'!$O$5:$O$7</c:f>
              <c:numCache>
                <c:formatCode>General</c:formatCode>
                <c:ptCount val="3"/>
                <c:pt idx="0">
                  <c:v>256</c:v>
                </c:pt>
                <c:pt idx="1">
                  <c:v>256</c:v>
                </c:pt>
                <c:pt idx="2">
                  <c:v>256</c:v>
                </c:pt>
              </c:numCache>
            </c:numRef>
          </c:xVal>
          <c:yVal>
            <c:numRef>
              <c:f>'[1]Sed Gradation Lines'!$P$5:$P$7</c:f>
              <c:numCache>
                <c:formatCode>General</c:formatCode>
                <c:ptCount val="3"/>
                <c:pt idx="0">
                  <c:v>0</c:v>
                </c:pt>
                <c:pt idx="1">
                  <c:v>50</c:v>
                </c:pt>
                <c:pt idx="2">
                  <c:v>100</c:v>
                </c:pt>
              </c:numCache>
            </c:numRef>
          </c:yVal>
          <c:smooth val="0"/>
        </c:ser>
        <c:ser>
          <c:idx val="0"/>
          <c:order val="9"/>
          <c:tx>
            <c:v>Surface Sample Left</c:v>
          </c:tx>
          <c:spPr>
            <a:ln>
              <a:solidFill>
                <a:schemeClr val="accent6">
                  <a:lumMod val="75000"/>
                </a:schemeClr>
              </a:solidFill>
              <a:prstDash val="lgDashDot"/>
            </a:ln>
          </c:spPr>
          <c:marker>
            <c:symbol val="none"/>
          </c:marker>
          <c:xVal>
            <c:numRef>
              <c:f>Surface!$B$14:$B$31</c:f>
              <c:numCache>
                <c:formatCode>General</c:formatCode>
                <c:ptCount val="18"/>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pt idx="17">
                  <c:v>720</c:v>
                </c:pt>
              </c:numCache>
            </c:numRef>
          </c:xVal>
          <c:yVal>
            <c:numRef>
              <c:f>Surface!$H$14:$H$31</c:f>
              <c:numCache>
                <c:formatCode>General</c:formatCode>
                <c:ptCount val="18"/>
                <c:pt idx="0">
                  <c:v>0</c:v>
                </c:pt>
                <c:pt idx="1">
                  <c:v>0</c:v>
                </c:pt>
                <c:pt idx="2">
                  <c:v>0</c:v>
                </c:pt>
                <c:pt idx="3">
                  <c:v>0</c:v>
                </c:pt>
                <c:pt idx="4">
                  <c:v>1</c:v>
                </c:pt>
                <c:pt idx="5">
                  <c:v>2</c:v>
                </c:pt>
                <c:pt idx="6">
                  <c:v>6</c:v>
                </c:pt>
                <c:pt idx="7">
                  <c:v>9</c:v>
                </c:pt>
                <c:pt idx="8">
                  <c:v>22</c:v>
                </c:pt>
                <c:pt idx="9">
                  <c:v>32</c:v>
                </c:pt>
                <c:pt idx="10">
                  <c:v>44</c:v>
                </c:pt>
                <c:pt idx="11">
                  <c:v>72</c:v>
                </c:pt>
                <c:pt idx="12">
                  <c:v>89</c:v>
                </c:pt>
                <c:pt idx="13">
                  <c:v>99</c:v>
                </c:pt>
                <c:pt idx="14">
                  <c:v>100</c:v>
                </c:pt>
                <c:pt idx="15">
                  <c:v>100</c:v>
                </c:pt>
                <c:pt idx="16">
                  <c:v>100</c:v>
                </c:pt>
                <c:pt idx="17">
                  <c:v>100</c:v>
                </c:pt>
              </c:numCache>
            </c:numRef>
          </c:yVal>
          <c:smooth val="0"/>
        </c:ser>
        <c:ser>
          <c:idx val="4"/>
          <c:order val="10"/>
          <c:tx>
            <c:v>Surface Sample Center</c:v>
          </c:tx>
          <c:spPr>
            <a:ln>
              <a:solidFill>
                <a:schemeClr val="accent6">
                  <a:lumMod val="75000"/>
                </a:schemeClr>
              </a:solidFill>
            </a:ln>
          </c:spPr>
          <c:marker>
            <c:symbol val="none"/>
          </c:marker>
          <c:xVal>
            <c:numRef>
              <c:f>Surface!$B$14:$B$31</c:f>
              <c:numCache>
                <c:formatCode>General</c:formatCode>
                <c:ptCount val="18"/>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pt idx="17">
                  <c:v>720</c:v>
                </c:pt>
              </c:numCache>
            </c:numRef>
          </c:xVal>
          <c:yVal>
            <c:numRef>
              <c:f>Surface!$O$14:$O$31</c:f>
              <c:numCache>
                <c:formatCode>General</c:formatCode>
                <c:ptCount val="18"/>
                <c:pt idx="0">
                  <c:v>0</c:v>
                </c:pt>
                <c:pt idx="1">
                  <c:v>0</c:v>
                </c:pt>
                <c:pt idx="2">
                  <c:v>0</c:v>
                </c:pt>
                <c:pt idx="3">
                  <c:v>1</c:v>
                </c:pt>
                <c:pt idx="4">
                  <c:v>2</c:v>
                </c:pt>
                <c:pt idx="5">
                  <c:v>5</c:v>
                </c:pt>
                <c:pt idx="6">
                  <c:v>9</c:v>
                </c:pt>
                <c:pt idx="7">
                  <c:v>13</c:v>
                </c:pt>
                <c:pt idx="8">
                  <c:v>18</c:v>
                </c:pt>
                <c:pt idx="9">
                  <c:v>31</c:v>
                </c:pt>
                <c:pt idx="10">
                  <c:v>45</c:v>
                </c:pt>
                <c:pt idx="11">
                  <c:v>66</c:v>
                </c:pt>
                <c:pt idx="12">
                  <c:v>87</c:v>
                </c:pt>
                <c:pt idx="13">
                  <c:v>98</c:v>
                </c:pt>
                <c:pt idx="14">
                  <c:v>99</c:v>
                </c:pt>
                <c:pt idx="15">
                  <c:v>100</c:v>
                </c:pt>
                <c:pt idx="16">
                  <c:v>100</c:v>
                </c:pt>
                <c:pt idx="17">
                  <c:v>100</c:v>
                </c:pt>
              </c:numCache>
            </c:numRef>
          </c:yVal>
          <c:smooth val="0"/>
        </c:ser>
        <c:ser>
          <c:idx val="2"/>
          <c:order val="11"/>
          <c:tx>
            <c:v>Surface Sample Right</c:v>
          </c:tx>
          <c:spPr>
            <a:ln>
              <a:solidFill>
                <a:schemeClr val="accent6">
                  <a:lumMod val="75000"/>
                </a:schemeClr>
              </a:solidFill>
              <a:prstDash val="sysDash"/>
            </a:ln>
          </c:spPr>
          <c:marker>
            <c:symbol val="none"/>
          </c:marker>
          <c:xVal>
            <c:numRef>
              <c:f>Surface!$B$14:$B$31</c:f>
              <c:numCache>
                <c:formatCode>General</c:formatCode>
                <c:ptCount val="18"/>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pt idx="17">
                  <c:v>720</c:v>
                </c:pt>
              </c:numCache>
            </c:numRef>
          </c:xVal>
          <c:yVal>
            <c:numRef>
              <c:f>Surface!$V$14:$V$31</c:f>
              <c:numCache>
                <c:formatCode>General</c:formatCode>
                <c:ptCount val="18"/>
                <c:pt idx="0">
                  <c:v>0</c:v>
                </c:pt>
                <c:pt idx="1">
                  <c:v>0</c:v>
                </c:pt>
                <c:pt idx="2">
                  <c:v>0</c:v>
                </c:pt>
                <c:pt idx="3">
                  <c:v>1</c:v>
                </c:pt>
                <c:pt idx="4">
                  <c:v>1</c:v>
                </c:pt>
                <c:pt idx="5">
                  <c:v>1</c:v>
                </c:pt>
                <c:pt idx="6">
                  <c:v>3</c:v>
                </c:pt>
                <c:pt idx="7">
                  <c:v>8</c:v>
                </c:pt>
                <c:pt idx="8">
                  <c:v>27</c:v>
                </c:pt>
                <c:pt idx="9">
                  <c:v>40</c:v>
                </c:pt>
                <c:pt idx="10">
                  <c:v>56</c:v>
                </c:pt>
                <c:pt idx="11">
                  <c:v>73</c:v>
                </c:pt>
                <c:pt idx="12">
                  <c:v>91</c:v>
                </c:pt>
                <c:pt idx="13">
                  <c:v>100</c:v>
                </c:pt>
                <c:pt idx="14">
                  <c:v>100</c:v>
                </c:pt>
                <c:pt idx="15">
                  <c:v>100</c:v>
                </c:pt>
                <c:pt idx="16">
                  <c:v>100</c:v>
                </c:pt>
                <c:pt idx="17">
                  <c:v>100</c:v>
                </c:pt>
              </c:numCache>
            </c:numRef>
          </c:yVal>
          <c:smooth val="0"/>
        </c:ser>
        <c:ser>
          <c:idx val="10"/>
          <c:order val="12"/>
          <c:tx>
            <c:v>Surface Sample Average</c:v>
          </c:tx>
          <c:spPr>
            <a:ln w="38100">
              <a:solidFill>
                <a:schemeClr val="accent6">
                  <a:lumMod val="75000"/>
                </a:schemeClr>
              </a:solidFill>
              <a:prstDash val="solid"/>
            </a:ln>
          </c:spPr>
          <c:marker>
            <c:symbol val="none"/>
          </c:marker>
          <c:xVal>
            <c:numRef>
              <c:f>Surface!$P$14:$P$31</c:f>
              <c:numCache>
                <c:formatCode>General</c:formatCode>
                <c:ptCount val="18"/>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pt idx="17">
                  <c:v>720</c:v>
                </c:pt>
              </c:numCache>
            </c:numRef>
          </c:xVal>
          <c:yVal>
            <c:numRef>
              <c:f>Surface!$W$14:$W$31</c:f>
              <c:numCache>
                <c:formatCode>0.0</c:formatCode>
                <c:ptCount val="18"/>
                <c:pt idx="0">
                  <c:v>0</c:v>
                </c:pt>
                <c:pt idx="1">
                  <c:v>0</c:v>
                </c:pt>
                <c:pt idx="2">
                  <c:v>0</c:v>
                </c:pt>
                <c:pt idx="3">
                  <c:v>0.66666666666666663</c:v>
                </c:pt>
                <c:pt idx="4">
                  <c:v>1.3333333333333333</c:v>
                </c:pt>
                <c:pt idx="5">
                  <c:v>2.6666666666666665</c:v>
                </c:pt>
                <c:pt idx="6">
                  <c:v>6</c:v>
                </c:pt>
                <c:pt idx="7">
                  <c:v>10</c:v>
                </c:pt>
                <c:pt idx="8">
                  <c:v>22.333333333333332</c:v>
                </c:pt>
                <c:pt idx="9">
                  <c:v>34.333333333333336</c:v>
                </c:pt>
                <c:pt idx="10">
                  <c:v>48.333333333333336</c:v>
                </c:pt>
                <c:pt idx="11">
                  <c:v>70.333333333333329</c:v>
                </c:pt>
                <c:pt idx="12">
                  <c:v>89</c:v>
                </c:pt>
                <c:pt idx="13">
                  <c:v>99</c:v>
                </c:pt>
                <c:pt idx="14">
                  <c:v>99.666666666666671</c:v>
                </c:pt>
                <c:pt idx="15">
                  <c:v>100</c:v>
                </c:pt>
                <c:pt idx="16">
                  <c:v>100</c:v>
                </c:pt>
                <c:pt idx="17">
                  <c:v>100</c:v>
                </c:pt>
              </c:numCache>
            </c:numRef>
          </c:yVal>
          <c:smooth val="0"/>
        </c:ser>
        <c:ser>
          <c:idx val="1"/>
          <c:order val="13"/>
          <c:tx>
            <c:v>Subsurface: Field and Lab </c:v>
          </c:tx>
          <c:spPr>
            <a:ln w="38100">
              <a:solidFill>
                <a:srgbClr val="0070C0"/>
              </a:solidFill>
              <a:prstDash val="solid"/>
            </a:ln>
          </c:spPr>
          <c:marker>
            <c:symbol val="none"/>
          </c:marker>
          <c:xVal>
            <c:numRef>
              <c:f>SubS!$Z$10:$Z$27</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SubS!$AG$10:$AG$27</c:f>
              <c:numCache>
                <c:formatCode>_(* #,##0.00_);_(* \(#,##0.00\);_(* "-"??_);_(@_)</c:formatCode>
                <c:ptCount val="18"/>
                <c:pt idx="0">
                  <c:v>100</c:v>
                </c:pt>
                <c:pt idx="1">
                  <c:v>100</c:v>
                </c:pt>
                <c:pt idx="2">
                  <c:v>100</c:v>
                </c:pt>
                <c:pt idx="3">
                  <c:v>91.808531155164701</c:v>
                </c:pt>
                <c:pt idx="4">
                  <c:v>87.37667263121125</c:v>
                </c:pt>
                <c:pt idx="5">
                  <c:v>75.002326078374949</c:v>
                </c:pt>
                <c:pt idx="6">
                  <c:v>62.727571851919627</c:v>
                </c:pt>
                <c:pt idx="7">
                  <c:v>53.415689335298346</c:v>
                </c:pt>
                <c:pt idx="8">
                  <c:v>46.269939917463297</c:v>
                </c:pt>
                <c:pt idx="9">
                  <c:v>39.398069397175931</c:v>
                </c:pt>
                <c:pt idx="10">
                  <c:v>32.306416905684259</c:v>
                </c:pt>
                <c:pt idx="11">
                  <c:v>25.608745108164356</c:v>
                </c:pt>
                <c:pt idx="12">
                  <c:v>21.274957474475002</c:v>
                </c:pt>
                <c:pt idx="13">
                  <c:v>17.729131228729166</c:v>
                </c:pt>
                <c:pt idx="14">
                  <c:v>11.03145943120926</c:v>
                </c:pt>
                <c:pt idx="15">
                  <c:v>3.939806939717593</c:v>
                </c:pt>
                <c:pt idx="16">
                  <c:v>1.5759227758870371</c:v>
                </c:pt>
                <c:pt idx="17">
                  <c:v>0.6303691103548148</c:v>
                </c:pt>
              </c:numCache>
            </c:numRef>
          </c:yVal>
          <c:smooth val="0"/>
        </c:ser>
        <c:dLbls>
          <c:showLegendKey val="0"/>
          <c:showVal val="0"/>
          <c:showCatName val="0"/>
          <c:showSerName val="0"/>
          <c:showPercent val="0"/>
          <c:showBubbleSize val="0"/>
        </c:dLbls>
        <c:axId val="393708952"/>
        <c:axId val="253801984"/>
      </c:scatterChart>
      <c:valAx>
        <c:axId val="393708952"/>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253801984"/>
        <c:crosses val="autoZero"/>
        <c:crossBetween val="midCat"/>
        <c:majorUnit val="10"/>
        <c:minorUnit val="10"/>
      </c:valAx>
      <c:valAx>
        <c:axId val="253801984"/>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393708952"/>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ayout>
        <c:manualLayout>
          <c:xMode val="edge"/>
          <c:yMode val="edge"/>
          <c:x val="0.54097705639081795"/>
          <c:y val="0.1227217496962333"/>
          <c:w val="0.28755926305866697"/>
          <c:h val="0.19957126111663226"/>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22861</xdr:colOff>
      <xdr:row>0</xdr:row>
      <xdr:rowOff>0</xdr:rowOff>
    </xdr:from>
    <xdr:ext cx="1981200" cy="444221"/>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632461" y="0"/>
          <a:ext cx="1981200" cy="444221"/>
        </a:xfrm>
        <a:prstGeom prst="rect">
          <a:avLst/>
        </a:prstGeom>
      </xdr:spPr>
    </xdr:pic>
    <xdr:clientData/>
  </xdr:oneCellAnchor>
  <xdr:oneCellAnchor>
    <xdr:from>
      <xdr:col>8</xdr:col>
      <xdr:colOff>367664</xdr:colOff>
      <xdr:row>0</xdr:row>
      <xdr:rowOff>0</xdr:rowOff>
    </xdr:from>
    <xdr:ext cx="661036" cy="711491"/>
    <xdr:pic>
      <xdr:nvPicPr>
        <xdr:cNvPr id="4" name="Picture 3"/>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a:stretch/>
      </xdr:blipFill>
      <xdr:spPr>
        <a:xfrm>
          <a:off x="6776084" y="0"/>
          <a:ext cx="661036" cy="711491"/>
        </a:xfrm>
        <a:prstGeom prst="rect">
          <a:avLst/>
        </a:prstGeom>
      </xdr:spPr>
    </xdr:pic>
    <xdr:clientData/>
  </xdr:oneCellAnchor>
  <xdr:twoCellAnchor>
    <xdr:from>
      <xdr:col>2</xdr:col>
      <xdr:colOff>7620</xdr:colOff>
      <xdr:row>8</xdr:row>
      <xdr:rowOff>144780</xdr:rowOff>
    </xdr:from>
    <xdr:to>
      <xdr:col>3</xdr:col>
      <xdr:colOff>30480</xdr:colOff>
      <xdr:row>8</xdr:row>
      <xdr:rowOff>441960</xdr:rowOff>
    </xdr:to>
    <xdr:sp macro="" textlink="">
      <xdr:nvSpPr>
        <xdr:cNvPr id="2" name="Oval 1"/>
        <xdr:cNvSpPr/>
      </xdr:nvSpPr>
      <xdr:spPr>
        <a:xfrm>
          <a:off x="1554480" y="1935480"/>
          <a:ext cx="891540" cy="29718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10</xdr:col>
      <xdr:colOff>0</xdr:colOff>
      <xdr:row>0</xdr:row>
      <xdr:rowOff>0</xdr:rowOff>
    </xdr:from>
    <xdr:to>
      <xdr:col>22</xdr:col>
      <xdr:colOff>281940</xdr:colOff>
      <xdr:row>45</xdr:row>
      <xdr:rowOff>121920</xdr:rowOff>
    </xdr:to>
    <xdr:pic>
      <xdr:nvPicPr>
        <xdr:cNvPr id="5" name="Picture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343900" y="0"/>
          <a:ext cx="7772400"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20</xdr:col>
      <xdr:colOff>29517</xdr:colOff>
      <xdr:row>0</xdr:row>
      <xdr:rowOff>168210</xdr:rowOff>
    </xdr:from>
    <xdr:ext cx="702003" cy="548070"/>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855757" y="168210"/>
          <a:ext cx="702003" cy="548070"/>
        </a:xfrm>
        <a:prstGeom prst="rect">
          <a:avLst/>
        </a:prstGeom>
      </xdr:spPr>
    </xdr:pic>
    <xdr:clientData/>
  </xdr:oneCellAnchor>
  <xdr:oneCellAnchor>
    <xdr:from>
      <xdr:col>1</xdr:col>
      <xdr:colOff>1906</xdr:colOff>
      <xdr:row>0</xdr:row>
      <xdr:rowOff>158688</xdr:rowOff>
    </xdr:from>
    <xdr:ext cx="1750694" cy="382332"/>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1506" y="158688"/>
          <a:ext cx="1750694" cy="382332"/>
        </a:xfrm>
        <a:prstGeom prst="rect">
          <a:avLst/>
        </a:prstGeom>
      </xdr:spPr>
    </xdr:pic>
    <xdr:clientData/>
  </xdr:oneCellAnchor>
  <xdr:oneCellAnchor>
    <xdr:from>
      <xdr:col>30</xdr:col>
      <xdr:colOff>428627</xdr:colOff>
      <xdr:row>0</xdr:row>
      <xdr:rowOff>123448</xdr:rowOff>
    </xdr:from>
    <xdr:ext cx="668653" cy="754757"/>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774027" y="123448"/>
          <a:ext cx="668653" cy="754757"/>
        </a:xfrm>
        <a:prstGeom prst="rect">
          <a:avLst/>
        </a:prstGeom>
      </xdr:spPr>
    </xdr:pic>
    <xdr:clientData/>
  </xdr:oneCellAnchor>
  <xdr:oneCellAnchor>
    <xdr:from>
      <xdr:col>24</xdr:col>
      <xdr:colOff>198120</xdr:colOff>
      <xdr:row>0</xdr:row>
      <xdr:rowOff>84394</xdr:rowOff>
    </xdr:from>
    <xdr:ext cx="1480061" cy="57092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81760" y="84394"/>
          <a:ext cx="1480061" cy="57092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absoluteAnchor>
    <xdr:pos x="0" y="0"/>
    <xdr:ext cx="866360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212" y="5587001"/>
          <a:ext cx="7231081" cy="385803"/>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256" y="5580903"/>
          <a:ext cx="6958438" cy="399696"/>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SWW-T31231%20Susitna_new_July2013/TributarySedimentModels/GoldCreek/Sediment%20Data/Sediment_count_Go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iment Gradation-cht"/>
      <sheetName val="Calculations"/>
      <sheetName val="Summary"/>
      <sheetName val="Sed Gradation Lines"/>
      <sheetName val="Transport Rating curves"/>
      <sheetName val="HEC RAS results"/>
    </sheetNames>
    <sheetDataSet>
      <sheetData sheetId="0" refreshError="1"/>
      <sheetData sheetId="1"/>
      <sheetData sheetId="2"/>
      <sheetData sheetId="3">
        <row r="5">
          <cell r="O5">
            <v>256</v>
          </cell>
          <cell r="P5">
            <v>0</v>
          </cell>
        </row>
        <row r="6">
          <cell r="O6">
            <v>256</v>
          </cell>
          <cell r="P6">
            <v>50</v>
          </cell>
        </row>
        <row r="7">
          <cell r="O7">
            <v>256</v>
          </cell>
          <cell r="P7">
            <v>100</v>
          </cell>
        </row>
        <row r="9">
          <cell r="O9">
            <v>64</v>
          </cell>
          <cell r="P9">
            <v>0</v>
          </cell>
        </row>
        <row r="10">
          <cell r="O10">
            <v>64</v>
          </cell>
          <cell r="P10">
            <v>50</v>
          </cell>
        </row>
        <row r="11">
          <cell r="O11">
            <v>64</v>
          </cell>
          <cell r="P11">
            <v>100</v>
          </cell>
        </row>
        <row r="12">
          <cell r="I12">
            <v>0.6</v>
          </cell>
          <cell r="J12">
            <v>0</v>
          </cell>
        </row>
        <row r="13">
          <cell r="I13">
            <v>0.6</v>
          </cell>
          <cell r="J13">
            <v>50</v>
          </cell>
        </row>
        <row r="14">
          <cell r="I14">
            <v>0.6</v>
          </cell>
          <cell r="J14">
            <v>100</v>
          </cell>
        </row>
        <row r="17">
          <cell r="O17">
            <v>0.5</v>
          </cell>
          <cell r="P17">
            <v>0</v>
          </cell>
        </row>
        <row r="18">
          <cell r="O18">
            <v>0.5</v>
          </cell>
          <cell r="P18">
            <v>50</v>
          </cell>
        </row>
        <row r="19">
          <cell r="O19">
            <v>0.5</v>
          </cell>
          <cell r="P19">
            <v>100</v>
          </cell>
        </row>
        <row r="20">
          <cell r="I20">
            <v>0.3</v>
          </cell>
          <cell r="J20">
            <v>0</v>
          </cell>
        </row>
        <row r="21">
          <cell r="I21">
            <v>0.3</v>
          </cell>
          <cell r="J21">
            <v>50</v>
          </cell>
          <cell r="O21">
            <v>0.25</v>
          </cell>
          <cell r="P21">
            <v>0</v>
          </cell>
        </row>
        <row r="22">
          <cell r="I22">
            <v>0.3</v>
          </cell>
          <cell r="J22">
            <v>100</v>
          </cell>
          <cell r="O22">
            <v>0.25</v>
          </cell>
          <cell r="P22">
            <v>50</v>
          </cell>
        </row>
        <row r="23">
          <cell r="O23">
            <v>0.25</v>
          </cell>
          <cell r="P23">
            <v>100</v>
          </cell>
        </row>
        <row r="25">
          <cell r="O25">
            <v>6.2E-2</v>
          </cell>
          <cell r="P25">
            <v>0</v>
          </cell>
        </row>
        <row r="26">
          <cell r="O26">
            <v>6.2E-2</v>
          </cell>
          <cell r="P26">
            <v>50</v>
          </cell>
        </row>
        <row r="27">
          <cell r="O27">
            <v>6.2E-2</v>
          </cell>
          <cell r="P27">
            <v>100</v>
          </cell>
        </row>
      </sheetData>
      <sheetData sheetId="4" refreshError="1"/>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58"/>
  <sheetViews>
    <sheetView tabSelected="1" topLeftCell="A25" workbookViewId="0">
      <selection activeCell="AB39" sqref="AB39"/>
    </sheetView>
  </sheetViews>
  <sheetFormatPr defaultColWidth="8.85546875" defaultRowHeight="14.25" x14ac:dyDescent="0.2"/>
  <cols>
    <col min="1" max="1" width="8.85546875" style="1"/>
    <col min="2" max="2" width="13.7109375" style="1" customWidth="1"/>
    <col min="3" max="4" width="12.7109375" style="1" customWidth="1"/>
    <col min="5" max="5" width="15.5703125" style="1" customWidth="1"/>
    <col min="6" max="6" width="11.5703125" style="1" customWidth="1"/>
    <col min="7" max="7" width="10.28515625" style="1" customWidth="1"/>
    <col min="8" max="8" width="11.28515625" style="1" customWidth="1"/>
    <col min="9" max="9" width="12.28515625" style="1" customWidth="1"/>
    <col min="10" max="10" width="12.7109375" style="1" customWidth="1"/>
    <col min="11" max="12" width="9.140625" style="1" customWidth="1"/>
    <col min="13" max="13" width="8.85546875" style="1"/>
    <col min="14" max="14" width="11" style="1" customWidth="1"/>
    <col min="15" max="25" width="8.85546875" style="1"/>
    <col min="26" max="28" width="9.140625" style="1"/>
    <col min="29" max="29" width="11.140625" style="1" customWidth="1"/>
    <col min="30" max="32" width="9.140625" style="1"/>
    <col min="33" max="33" width="9.42578125" style="1" customWidth="1"/>
    <col min="34" max="16384" width="8.85546875" style="1"/>
  </cols>
  <sheetData>
    <row r="1" spans="2:34" ht="22.9" x14ac:dyDescent="0.4">
      <c r="Z1" s="169" t="s">
        <v>23</v>
      </c>
      <c r="AA1" s="169"/>
      <c r="AB1" s="169"/>
      <c r="AC1" s="169"/>
      <c r="AD1" s="169"/>
      <c r="AE1" s="169"/>
      <c r="AF1" s="169"/>
      <c r="AG1" s="169"/>
      <c r="AH1"/>
    </row>
    <row r="2" spans="2:34" ht="22.9" x14ac:dyDescent="0.4">
      <c r="Z2" s="127"/>
      <c r="AA2" s="127"/>
      <c r="AB2" s="127"/>
      <c r="AC2" s="127"/>
      <c r="AD2" s="127"/>
      <c r="AE2" s="127"/>
      <c r="AF2" s="127"/>
      <c r="AG2" s="127"/>
      <c r="AH2"/>
    </row>
    <row r="3" spans="2:34" ht="22.9" x14ac:dyDescent="0.4">
      <c r="B3" s="169" t="s">
        <v>95</v>
      </c>
      <c r="C3" s="169"/>
      <c r="D3" s="169"/>
      <c r="E3" s="169"/>
      <c r="F3" s="169"/>
      <c r="G3" s="169"/>
      <c r="H3" s="169"/>
      <c r="I3" s="169"/>
      <c r="J3" s="169"/>
      <c r="Z3" s="1" t="s">
        <v>24</v>
      </c>
      <c r="AB3" s="49">
        <f>+AA28</f>
        <v>168.79999999999998</v>
      </c>
      <c r="AC3" s="1" t="s">
        <v>25</v>
      </c>
      <c r="AH3"/>
    </row>
    <row r="4" spans="2:34" ht="14.45" x14ac:dyDescent="0.3">
      <c r="B4" s="6" t="s">
        <v>26</v>
      </c>
      <c r="C4" s="6" t="s">
        <v>124</v>
      </c>
      <c r="D4" s="20"/>
      <c r="E4" s="6"/>
      <c r="F4" s="6" t="s">
        <v>2</v>
      </c>
      <c r="G4" s="6" t="s">
        <v>127</v>
      </c>
      <c r="H4" s="6"/>
      <c r="I4" s="6"/>
      <c r="J4" s="8"/>
      <c r="Z4" s="1" t="s">
        <v>27</v>
      </c>
      <c r="AB4" s="50">
        <v>8972</v>
      </c>
      <c r="AC4" s="1" t="s">
        <v>28</v>
      </c>
      <c r="AD4" s="51">
        <f>+AB4*0.0022046</f>
        <v>19.779671200000003</v>
      </c>
      <c r="AE4" s="1" t="s">
        <v>25</v>
      </c>
      <c r="AH4"/>
    </row>
    <row r="5" spans="2:34" ht="14.45" x14ac:dyDescent="0.3">
      <c r="B5" s="9" t="s">
        <v>5</v>
      </c>
      <c r="C5" s="10">
        <v>41836</v>
      </c>
      <c r="D5" s="52">
        <v>0.73958333333333337</v>
      </c>
      <c r="E5" s="9"/>
      <c r="F5" s="9" t="s">
        <v>96</v>
      </c>
      <c r="G5" s="9"/>
      <c r="H5" s="9">
        <v>3205317.2</v>
      </c>
      <c r="I5" s="9"/>
      <c r="J5" s="8"/>
      <c r="Z5" s="1" t="s">
        <v>29</v>
      </c>
      <c r="AB5" s="88">
        <f>1-AD4/E45</f>
        <v>6.2574824644549665E-2</v>
      </c>
      <c r="AH5"/>
    </row>
    <row r="6" spans="2:34" ht="15" thickBot="1" x14ac:dyDescent="0.35">
      <c r="B6" s="9" t="s">
        <v>7</v>
      </c>
      <c r="C6" s="9" t="s">
        <v>125</v>
      </c>
      <c r="D6" s="16"/>
      <c r="E6" s="9"/>
      <c r="F6" s="9" t="s">
        <v>97</v>
      </c>
      <c r="G6" s="15"/>
      <c r="H6" s="9">
        <v>1834808.2</v>
      </c>
      <c r="I6" s="9"/>
      <c r="J6" s="8"/>
      <c r="AB6" s="53"/>
      <c r="AH6"/>
    </row>
    <row r="7" spans="2:34" ht="14.45" x14ac:dyDescent="0.3">
      <c r="B7" s="9" t="s">
        <v>107</v>
      </c>
      <c r="C7" s="9"/>
      <c r="D7" s="9">
        <v>174.4</v>
      </c>
      <c r="E7" s="9"/>
      <c r="F7" s="14" t="s">
        <v>30</v>
      </c>
      <c r="G7" s="9"/>
      <c r="H7" s="9"/>
      <c r="I7" s="9"/>
      <c r="J7" s="8"/>
      <c r="AA7" s="170" t="s">
        <v>31</v>
      </c>
      <c r="AB7" s="171"/>
      <c r="AC7" s="171"/>
      <c r="AD7" s="172"/>
      <c r="AH7"/>
    </row>
    <row r="8" spans="2:34" ht="14.45" x14ac:dyDescent="0.3">
      <c r="B8" s="9" t="s">
        <v>98</v>
      </c>
      <c r="C8" s="12"/>
      <c r="D8" s="134" t="s">
        <v>126</v>
      </c>
      <c r="E8" s="9"/>
      <c r="F8" s="19"/>
      <c r="G8" s="9"/>
      <c r="H8" s="9"/>
      <c r="I8" s="9"/>
      <c r="J8" s="8"/>
      <c r="AA8" s="17"/>
      <c r="AB8" s="17"/>
      <c r="AC8" s="17"/>
      <c r="AD8" s="17"/>
      <c r="AH8"/>
    </row>
    <row r="9" spans="2:34" ht="42" customHeight="1" x14ac:dyDescent="0.3">
      <c r="B9" s="120" t="s">
        <v>109</v>
      </c>
      <c r="C9" s="137" t="s">
        <v>110</v>
      </c>
      <c r="D9" s="134" t="s">
        <v>111</v>
      </c>
      <c r="E9" s="137" t="s">
        <v>112</v>
      </c>
      <c r="F9" s="135" t="s">
        <v>113</v>
      </c>
      <c r="G9" s="9"/>
      <c r="H9" s="9"/>
      <c r="I9" s="9"/>
      <c r="J9" s="8"/>
      <c r="AA9" s="54" t="s">
        <v>32</v>
      </c>
      <c r="AB9" s="54" t="s">
        <v>33</v>
      </c>
      <c r="AC9" s="55" t="s">
        <v>34</v>
      </c>
      <c r="AD9" s="55" t="s">
        <v>35</v>
      </c>
      <c r="AE9" s="55" t="s">
        <v>36</v>
      </c>
      <c r="AF9" s="55" t="s">
        <v>37</v>
      </c>
      <c r="AG9" s="55" t="s">
        <v>38</v>
      </c>
      <c r="AH9"/>
    </row>
    <row r="10" spans="2:34" ht="14.45" x14ac:dyDescent="0.3">
      <c r="B10" s="9"/>
      <c r="C10" s="6"/>
      <c r="D10" s="9"/>
      <c r="E10" s="9"/>
      <c r="G10" s="9"/>
      <c r="H10" s="9"/>
      <c r="I10" s="9"/>
      <c r="J10" s="8"/>
      <c r="Z10" s="89">
        <v>360</v>
      </c>
      <c r="AA10" s="56">
        <f t="shared" ref="AA10:AA12" si="0">+F32</f>
        <v>0</v>
      </c>
      <c r="AB10" s="56">
        <f>+AA10</f>
        <v>0</v>
      </c>
      <c r="AC10" s="56">
        <f>+AB10</f>
        <v>0</v>
      </c>
      <c r="AD10" s="57">
        <f t="shared" ref="AD10:AD19" si="1">1-(AC10/AB$29)</f>
        <v>1</v>
      </c>
      <c r="AE10" s="58"/>
      <c r="AF10" s="58"/>
      <c r="AG10" s="59">
        <f t="shared" ref="AG10:AG19" si="2">+AD10*100</f>
        <v>100</v>
      </c>
      <c r="AH10"/>
    </row>
    <row r="11" spans="2:34" ht="15" thickBot="1" x14ac:dyDescent="0.35">
      <c r="G11" s="9"/>
      <c r="H11" s="9"/>
      <c r="I11" s="9"/>
      <c r="J11" s="8"/>
      <c r="Z11" s="89">
        <v>256</v>
      </c>
      <c r="AA11" s="56">
        <f t="shared" si="0"/>
        <v>0</v>
      </c>
      <c r="AB11" s="56">
        <f t="shared" ref="AB11:AB19" si="3">+AA11</f>
        <v>0</v>
      </c>
      <c r="AC11" s="60">
        <f t="shared" ref="AC11:AC19" si="4">+AB11+AC10</f>
        <v>0</v>
      </c>
      <c r="AD11" s="57">
        <f t="shared" si="1"/>
        <v>1</v>
      </c>
      <c r="AE11" s="58"/>
      <c r="AF11" s="58"/>
      <c r="AG11" s="59">
        <f t="shared" si="2"/>
        <v>100</v>
      </c>
      <c r="AH11"/>
    </row>
    <row r="12" spans="2:34" ht="18" thickBot="1" x14ac:dyDescent="0.35">
      <c r="B12" s="173" t="s">
        <v>39</v>
      </c>
      <c r="C12" s="174"/>
      <c r="D12" s="174"/>
      <c r="E12" s="175"/>
      <c r="G12" s="12"/>
      <c r="H12" s="12"/>
      <c r="I12" s="12"/>
      <c r="Z12" s="89">
        <v>180</v>
      </c>
      <c r="AA12" s="56">
        <f t="shared" si="0"/>
        <v>0</v>
      </c>
      <c r="AB12" s="56">
        <f t="shared" si="3"/>
        <v>0</v>
      </c>
      <c r="AC12" s="60">
        <f t="shared" si="4"/>
        <v>0</v>
      </c>
      <c r="AD12" s="57">
        <f t="shared" si="1"/>
        <v>1</v>
      </c>
      <c r="AE12" s="58"/>
      <c r="AF12" s="58"/>
      <c r="AG12" s="59">
        <f t="shared" si="2"/>
        <v>100</v>
      </c>
      <c r="AH12"/>
    </row>
    <row r="13" spans="2:34" ht="14.45" x14ac:dyDescent="0.3">
      <c r="B13" s="61" t="s">
        <v>40</v>
      </c>
      <c r="C13" s="61" t="s">
        <v>41</v>
      </c>
      <c r="D13" s="61" t="s">
        <v>42</v>
      </c>
      <c r="E13" s="61" t="s">
        <v>43</v>
      </c>
      <c r="G13" s="121"/>
      <c r="H13" s="6"/>
      <c r="I13" s="6"/>
      <c r="Z13" s="89">
        <v>128</v>
      </c>
      <c r="AA13" s="56">
        <f>+E35</f>
        <v>32.9</v>
      </c>
      <c r="AB13" s="56">
        <f t="shared" si="3"/>
        <v>32.9</v>
      </c>
      <c r="AC13" s="60">
        <f t="shared" si="4"/>
        <v>32.9</v>
      </c>
      <c r="AD13" s="57">
        <f t="shared" si="1"/>
        <v>0.91808531155164697</v>
      </c>
      <c r="AE13" s="58"/>
      <c r="AF13" s="58"/>
      <c r="AG13" s="59">
        <f t="shared" si="2"/>
        <v>91.808531155164701</v>
      </c>
      <c r="AH13"/>
    </row>
    <row r="14" spans="2:34" ht="27.6" x14ac:dyDescent="0.3">
      <c r="B14" s="62" t="s">
        <v>44</v>
      </c>
      <c r="C14" s="63" t="s">
        <v>45</v>
      </c>
      <c r="D14" s="63" t="s">
        <v>46</v>
      </c>
      <c r="E14" s="63" t="s">
        <v>47</v>
      </c>
      <c r="F14" s="1" t="s">
        <v>99</v>
      </c>
      <c r="G14" s="122"/>
      <c r="H14" s="64" t="s">
        <v>128</v>
      </c>
      <c r="I14" s="9"/>
      <c r="Z14" s="90">
        <v>90</v>
      </c>
      <c r="AA14" s="56">
        <f t="shared" ref="AA14:AA19" si="5">+E36</f>
        <v>17.8</v>
      </c>
      <c r="AB14" s="56">
        <f t="shared" si="3"/>
        <v>17.8</v>
      </c>
      <c r="AC14" s="60">
        <f t="shared" si="4"/>
        <v>50.7</v>
      </c>
      <c r="AD14" s="57">
        <f t="shared" si="1"/>
        <v>0.8737667263121125</v>
      </c>
      <c r="AE14" s="58"/>
      <c r="AF14" s="58"/>
      <c r="AG14" s="59">
        <f t="shared" si="2"/>
        <v>87.37667263121125</v>
      </c>
      <c r="AH14"/>
    </row>
    <row r="15" spans="2:34" ht="14.45" x14ac:dyDescent="0.3">
      <c r="B15" s="62"/>
      <c r="C15" s="63"/>
      <c r="D15" s="63"/>
      <c r="E15" s="65" t="s">
        <v>48</v>
      </c>
      <c r="G15" s="21"/>
      <c r="H15" s="8"/>
      <c r="I15" s="8"/>
      <c r="Z15" s="90">
        <v>64</v>
      </c>
      <c r="AA15" s="56">
        <f t="shared" si="5"/>
        <v>49.699999999999996</v>
      </c>
      <c r="AB15" s="56">
        <f t="shared" si="3"/>
        <v>49.699999999999996</v>
      </c>
      <c r="AC15" s="60">
        <f t="shared" si="4"/>
        <v>100.4</v>
      </c>
      <c r="AD15" s="57">
        <f t="shared" si="1"/>
        <v>0.75002326078374948</v>
      </c>
      <c r="AE15" s="58"/>
      <c r="AF15" s="58"/>
      <c r="AG15" s="59">
        <f t="shared" si="2"/>
        <v>75.002326078374949</v>
      </c>
      <c r="AH15"/>
    </row>
    <row r="16" spans="2:34" ht="14.45" x14ac:dyDescent="0.3">
      <c r="B16" s="66">
        <v>1</v>
      </c>
      <c r="C16" s="67">
        <v>1.7</v>
      </c>
      <c r="D16" s="67">
        <v>64.8</v>
      </c>
      <c r="E16" s="100">
        <f>D16-C16</f>
        <v>63.099999999999994</v>
      </c>
      <c r="G16" s="123" t="s">
        <v>100</v>
      </c>
      <c r="H16" s="124"/>
      <c r="I16" s="8"/>
      <c r="Z16" s="89">
        <v>45</v>
      </c>
      <c r="AA16" s="56">
        <f t="shared" si="5"/>
        <v>49.3</v>
      </c>
      <c r="AB16" s="56">
        <f t="shared" si="3"/>
        <v>49.3</v>
      </c>
      <c r="AC16" s="60">
        <f t="shared" si="4"/>
        <v>149.69999999999999</v>
      </c>
      <c r="AD16" s="57">
        <f t="shared" si="1"/>
        <v>0.62727571851919628</v>
      </c>
      <c r="AE16" s="58"/>
      <c r="AF16" s="58"/>
      <c r="AG16" s="59">
        <f t="shared" si="2"/>
        <v>62.727571851919627</v>
      </c>
      <c r="AH16"/>
    </row>
    <row r="17" spans="2:34" ht="14.45" x14ac:dyDescent="0.3">
      <c r="B17" s="66">
        <v>2</v>
      </c>
      <c r="C17" s="67">
        <v>1.7</v>
      </c>
      <c r="D17" s="67">
        <v>44.4</v>
      </c>
      <c r="E17" s="100">
        <f t="shared" ref="E17:E25" si="6">D17-C17</f>
        <v>42.699999999999996</v>
      </c>
      <c r="G17" s="125" t="s">
        <v>101</v>
      </c>
      <c r="H17" s="8"/>
      <c r="I17" s="8"/>
      <c r="K17" s="8"/>
      <c r="L17" s="8"/>
      <c r="M17" s="8"/>
      <c r="N17" s="8"/>
      <c r="Z17" s="89">
        <v>32</v>
      </c>
      <c r="AA17" s="56">
        <f t="shared" si="5"/>
        <v>37.4</v>
      </c>
      <c r="AB17" s="56">
        <f t="shared" si="3"/>
        <v>37.4</v>
      </c>
      <c r="AC17" s="60">
        <f t="shared" si="4"/>
        <v>187.1</v>
      </c>
      <c r="AD17" s="57">
        <f t="shared" si="1"/>
        <v>0.53415689335298344</v>
      </c>
      <c r="AE17" s="58"/>
      <c r="AF17" s="58"/>
      <c r="AG17" s="59">
        <f t="shared" si="2"/>
        <v>53.415689335298346</v>
      </c>
      <c r="AH17"/>
    </row>
    <row r="18" spans="2:34" ht="14.45" x14ac:dyDescent="0.3">
      <c r="B18" s="66">
        <v>3</v>
      </c>
      <c r="C18" s="67">
        <v>1.7</v>
      </c>
      <c r="D18" s="67">
        <v>69.8</v>
      </c>
      <c r="E18" s="100">
        <f t="shared" si="6"/>
        <v>68.099999999999994</v>
      </c>
      <c r="G18" s="126" t="s">
        <v>102</v>
      </c>
      <c r="H18" s="69"/>
      <c r="I18" s="69"/>
      <c r="J18" s="8"/>
      <c r="K18" s="8"/>
      <c r="L18" s="8"/>
      <c r="M18" s="8"/>
      <c r="N18" s="8"/>
      <c r="Z18" s="89">
        <v>22.5</v>
      </c>
      <c r="AA18" s="56">
        <f t="shared" si="5"/>
        <v>28.7</v>
      </c>
      <c r="AB18" s="56">
        <f t="shared" si="3"/>
        <v>28.7</v>
      </c>
      <c r="AC18" s="60">
        <f t="shared" si="4"/>
        <v>215.79999999999998</v>
      </c>
      <c r="AD18" s="57">
        <f t="shared" si="1"/>
        <v>0.46269939917463299</v>
      </c>
      <c r="AE18" s="58"/>
      <c r="AF18" s="58"/>
      <c r="AG18" s="59">
        <f t="shared" si="2"/>
        <v>46.269939917463297</v>
      </c>
      <c r="AH18"/>
    </row>
    <row r="19" spans="2:34" ht="14.45" x14ac:dyDescent="0.3">
      <c r="B19" s="66">
        <v>4</v>
      </c>
      <c r="C19" s="67">
        <v>1.7</v>
      </c>
      <c r="D19" s="67">
        <v>69</v>
      </c>
      <c r="E19" s="100">
        <f t="shared" si="6"/>
        <v>67.3</v>
      </c>
      <c r="F19" s="13" t="s">
        <v>49</v>
      </c>
      <c r="G19" s="42"/>
      <c r="H19" s="69"/>
      <c r="I19" s="69"/>
      <c r="J19" s="69"/>
      <c r="K19" s="69"/>
      <c r="L19" s="69"/>
      <c r="M19" s="69"/>
      <c r="N19" s="69"/>
      <c r="Z19" s="89">
        <v>16</v>
      </c>
      <c r="AA19" s="56">
        <f t="shared" si="5"/>
        <v>27.6</v>
      </c>
      <c r="AB19" s="56">
        <f t="shared" si="3"/>
        <v>27.6</v>
      </c>
      <c r="AC19" s="60">
        <f t="shared" si="4"/>
        <v>243.39999999999998</v>
      </c>
      <c r="AD19" s="57">
        <f t="shared" si="1"/>
        <v>0.39398069397175928</v>
      </c>
      <c r="AE19" s="70">
        <v>100</v>
      </c>
      <c r="AF19" s="57">
        <f>+AE19/100*AD$19</f>
        <v>0.39398069397175928</v>
      </c>
      <c r="AG19" s="59">
        <f t="shared" si="2"/>
        <v>39.398069397175931</v>
      </c>
      <c r="AH19"/>
    </row>
    <row r="20" spans="2:34" ht="14.45" x14ac:dyDescent="0.3">
      <c r="B20" s="66">
        <v>5</v>
      </c>
      <c r="C20" s="67">
        <v>1.7</v>
      </c>
      <c r="D20" s="67">
        <v>59</v>
      </c>
      <c r="E20" s="100">
        <f t="shared" si="6"/>
        <v>57.3</v>
      </c>
      <c r="G20" s="17"/>
      <c r="H20" s="32"/>
      <c r="I20" s="32"/>
      <c r="J20" s="32"/>
      <c r="K20" s="72"/>
      <c r="L20" s="72"/>
      <c r="M20" s="72"/>
      <c r="N20" s="72"/>
      <c r="Z20" s="89">
        <v>8</v>
      </c>
      <c r="AA20" s="58"/>
      <c r="AB20" s="58"/>
      <c r="AC20" s="58"/>
      <c r="AD20" s="58"/>
      <c r="AE20" s="70">
        <v>82</v>
      </c>
      <c r="AF20" s="57">
        <f t="shared" ref="AF20:AF27" si="7">+AE20/100*AD$19</f>
        <v>0.3230641690568426</v>
      </c>
      <c r="AG20" s="59">
        <f t="shared" ref="AG20:AG27" si="8">+AF20*100</f>
        <v>32.306416905684259</v>
      </c>
      <c r="AH20"/>
    </row>
    <row r="21" spans="2:34" ht="14.45" x14ac:dyDescent="0.3">
      <c r="B21" s="66">
        <v>6</v>
      </c>
      <c r="C21" s="67">
        <v>1.7</v>
      </c>
      <c r="D21" s="67">
        <v>50.8</v>
      </c>
      <c r="E21" s="100">
        <f t="shared" si="6"/>
        <v>49.099999999999994</v>
      </c>
      <c r="G21" s="17"/>
      <c r="H21" s="32"/>
      <c r="I21" s="32"/>
      <c r="J21" s="32"/>
      <c r="K21" s="72"/>
      <c r="L21" s="72"/>
      <c r="M21" s="72"/>
      <c r="N21" s="72"/>
      <c r="Z21" s="89">
        <v>4</v>
      </c>
      <c r="AA21" s="58"/>
      <c r="AB21" s="58"/>
      <c r="AC21" s="58"/>
      <c r="AD21" s="58"/>
      <c r="AE21" s="70">
        <v>65</v>
      </c>
      <c r="AF21" s="57">
        <f t="shared" si="7"/>
        <v>0.25608745108164355</v>
      </c>
      <c r="AG21" s="59">
        <f t="shared" si="8"/>
        <v>25.608745108164356</v>
      </c>
      <c r="AH21"/>
    </row>
    <row r="22" spans="2:34" ht="14.45" x14ac:dyDescent="0.3">
      <c r="B22" s="66">
        <v>7</v>
      </c>
      <c r="C22" s="67">
        <v>1.7</v>
      </c>
      <c r="D22" s="67">
        <v>64.400000000000006</v>
      </c>
      <c r="E22" s="100">
        <f t="shared" si="6"/>
        <v>62.7</v>
      </c>
      <c r="G22" s="17"/>
      <c r="H22" s="32"/>
      <c r="I22" s="32"/>
      <c r="J22" s="32"/>
      <c r="K22" s="72"/>
      <c r="L22" s="72"/>
      <c r="M22" s="72"/>
      <c r="N22" s="72"/>
      <c r="Z22" s="89">
        <v>2</v>
      </c>
      <c r="AA22" s="58"/>
      <c r="AB22" s="58"/>
      <c r="AC22" s="58"/>
      <c r="AD22" s="58"/>
      <c r="AE22" s="70">
        <v>54</v>
      </c>
      <c r="AF22" s="57">
        <f t="shared" si="7"/>
        <v>0.21274957474475004</v>
      </c>
      <c r="AG22" s="59">
        <f t="shared" si="8"/>
        <v>21.274957474475002</v>
      </c>
      <c r="AH22"/>
    </row>
    <row r="23" spans="2:34" ht="14.45" x14ac:dyDescent="0.3">
      <c r="B23" s="66">
        <v>8</v>
      </c>
      <c r="C23" s="67"/>
      <c r="D23" s="67"/>
      <c r="E23" s="100">
        <f t="shared" si="6"/>
        <v>0</v>
      </c>
      <c r="G23" s="17"/>
      <c r="H23" s="32"/>
      <c r="I23" s="32"/>
      <c r="J23" s="32"/>
      <c r="K23" s="72"/>
      <c r="L23" s="72"/>
      <c r="M23" s="72"/>
      <c r="N23" s="72"/>
      <c r="Z23" s="89">
        <v>1</v>
      </c>
      <c r="AA23" s="58"/>
      <c r="AB23" s="58"/>
      <c r="AC23" s="58"/>
      <c r="AD23" s="58"/>
      <c r="AE23" s="70">
        <v>45</v>
      </c>
      <c r="AF23" s="57">
        <f t="shared" si="7"/>
        <v>0.17729131228729167</v>
      </c>
      <c r="AG23" s="59">
        <f t="shared" si="8"/>
        <v>17.729131228729166</v>
      </c>
      <c r="AH23"/>
    </row>
    <row r="24" spans="2:34" ht="14.45" x14ac:dyDescent="0.3">
      <c r="B24" s="66">
        <v>9</v>
      </c>
      <c r="C24" s="67"/>
      <c r="D24" s="67"/>
      <c r="E24" s="100">
        <f t="shared" si="6"/>
        <v>0</v>
      </c>
      <c r="G24" s="17"/>
      <c r="H24" s="32"/>
      <c r="I24" s="32"/>
      <c r="J24" s="32"/>
      <c r="K24" s="72"/>
      <c r="L24" s="72"/>
      <c r="M24" s="72"/>
      <c r="N24" s="72"/>
      <c r="Z24" s="89">
        <v>0.5</v>
      </c>
      <c r="AA24" s="58"/>
      <c r="AB24" s="58"/>
      <c r="AC24" s="58"/>
      <c r="AD24" s="58"/>
      <c r="AE24" s="70">
        <v>28</v>
      </c>
      <c r="AF24" s="57">
        <f t="shared" si="7"/>
        <v>0.1103145943120926</v>
      </c>
      <c r="AG24" s="59">
        <f t="shared" si="8"/>
        <v>11.03145943120926</v>
      </c>
      <c r="AH24"/>
    </row>
    <row r="25" spans="2:34" ht="14.45" x14ac:dyDescent="0.3">
      <c r="B25" s="66">
        <v>10</v>
      </c>
      <c r="C25" s="67"/>
      <c r="D25" s="67"/>
      <c r="E25" s="100">
        <f t="shared" si="6"/>
        <v>0</v>
      </c>
      <c r="G25" s="17"/>
      <c r="H25" s="32"/>
      <c r="I25" s="32"/>
      <c r="J25" s="32"/>
      <c r="K25" s="72"/>
      <c r="L25" s="72"/>
      <c r="M25" s="72"/>
      <c r="N25" s="72"/>
      <c r="Z25" s="91">
        <v>0.25</v>
      </c>
      <c r="AA25" s="58"/>
      <c r="AB25" s="58"/>
      <c r="AC25" s="58"/>
      <c r="AD25" s="58"/>
      <c r="AE25" s="70">
        <v>10</v>
      </c>
      <c r="AF25" s="57">
        <f t="shared" si="7"/>
        <v>3.9398069397175932E-2</v>
      </c>
      <c r="AG25" s="59">
        <f t="shared" si="8"/>
        <v>3.939806939717593</v>
      </c>
      <c r="AH25"/>
    </row>
    <row r="26" spans="2:34" ht="14.45" x14ac:dyDescent="0.3">
      <c r="B26" s="66" t="s">
        <v>50</v>
      </c>
      <c r="C26" s="67">
        <f>SUM(C16:C25)</f>
        <v>11.899999999999999</v>
      </c>
      <c r="D26" s="67">
        <f>SUM(D16:D25)</f>
        <v>422.20000000000005</v>
      </c>
      <c r="E26" s="100">
        <f>SUM(E16:E25)</f>
        <v>410.3</v>
      </c>
      <c r="G26" s="17"/>
      <c r="H26" s="32"/>
      <c r="I26" s="32"/>
      <c r="J26" s="32"/>
      <c r="K26" s="72"/>
      <c r="L26" s="72"/>
      <c r="M26" s="72"/>
      <c r="N26" s="72"/>
      <c r="Z26" s="91">
        <v>0.125</v>
      </c>
      <c r="AA26" s="58"/>
      <c r="AB26" s="58"/>
      <c r="AC26" s="58"/>
      <c r="AD26" s="58"/>
      <c r="AE26" s="70">
        <v>4</v>
      </c>
      <c r="AF26" s="57">
        <f t="shared" si="7"/>
        <v>1.575922775887037E-2</v>
      </c>
      <c r="AG26" s="59">
        <f t="shared" si="8"/>
        <v>1.5759227758870371</v>
      </c>
      <c r="AH26"/>
    </row>
    <row r="27" spans="2:34" ht="14.45" x14ac:dyDescent="0.3">
      <c r="B27" s="17"/>
      <c r="C27" s="8"/>
      <c r="D27" s="8"/>
      <c r="E27" s="8"/>
      <c r="G27" s="101"/>
      <c r="H27" s="102"/>
      <c r="I27" s="102"/>
      <c r="J27" s="74"/>
      <c r="K27" s="8"/>
      <c r="L27" s="8"/>
      <c r="M27" s="8"/>
      <c r="N27" s="8"/>
      <c r="Z27" s="91">
        <v>6.25E-2</v>
      </c>
      <c r="AA27" s="56"/>
      <c r="AB27" s="56"/>
      <c r="AC27" s="56"/>
      <c r="AD27" s="56"/>
      <c r="AE27" s="70">
        <v>1.6</v>
      </c>
      <c r="AF27" s="57">
        <f t="shared" si="7"/>
        <v>6.3036911035481485E-3</v>
      </c>
      <c r="AG27" s="59">
        <f t="shared" si="8"/>
        <v>0.6303691103548148</v>
      </c>
      <c r="AH27"/>
    </row>
    <row r="28" spans="2:34" ht="17.45" x14ac:dyDescent="0.3">
      <c r="B28" s="176" t="s">
        <v>51</v>
      </c>
      <c r="C28" s="177"/>
      <c r="D28" s="177"/>
      <c r="E28" s="177"/>
      <c r="F28" s="177"/>
      <c r="G28" s="69"/>
      <c r="H28" s="8"/>
      <c r="I28" s="8"/>
      <c r="J28" s="8"/>
      <c r="K28" s="8"/>
      <c r="AA28" s="49">
        <f>+E43</f>
        <v>168.79999999999998</v>
      </c>
      <c r="AB28" s="165">
        <f>(AD4/E45)*AA28</f>
        <v>158.23736959999999</v>
      </c>
      <c r="AE28"/>
    </row>
    <row r="29" spans="2:34" ht="14.45" x14ac:dyDescent="0.3">
      <c r="B29" s="75" t="s">
        <v>40</v>
      </c>
      <c r="C29" s="75" t="s">
        <v>41</v>
      </c>
      <c r="D29" s="75" t="s">
        <v>42</v>
      </c>
      <c r="E29" s="75" t="s">
        <v>43</v>
      </c>
      <c r="F29" s="75" t="s">
        <v>52</v>
      </c>
      <c r="AA29" s="1">
        <f>SUM(AA10:AA28)</f>
        <v>412.19999999999993</v>
      </c>
      <c r="AB29" s="1">
        <f>SUM(AB10:AB28)</f>
        <v>401.63736959999994</v>
      </c>
      <c r="AC29"/>
    </row>
    <row r="30" spans="2:34" ht="55.15" x14ac:dyDescent="0.3">
      <c r="B30" s="55" t="s">
        <v>53</v>
      </c>
      <c r="C30" s="55" t="s">
        <v>54</v>
      </c>
      <c r="D30" s="55" t="s">
        <v>120</v>
      </c>
      <c r="E30" s="55" t="s">
        <v>55</v>
      </c>
      <c r="F30" s="55" t="s">
        <v>56</v>
      </c>
      <c r="H30" s="77"/>
      <c r="AC30"/>
    </row>
    <row r="31" spans="2:34" ht="17.45" x14ac:dyDescent="0.3">
      <c r="B31" s="56"/>
      <c r="C31" s="55"/>
      <c r="D31" s="55"/>
      <c r="E31" s="65" t="s">
        <v>48</v>
      </c>
      <c r="F31" s="65" t="s">
        <v>57</v>
      </c>
      <c r="L31" s="78"/>
      <c r="AA31" s="92" t="s">
        <v>72</v>
      </c>
      <c r="AB31" s="92" t="s">
        <v>10</v>
      </c>
      <c r="AC31"/>
    </row>
    <row r="32" spans="2:34" ht="14.45" x14ac:dyDescent="0.3">
      <c r="B32" s="71" t="s">
        <v>58</v>
      </c>
      <c r="C32" s="55"/>
      <c r="D32" s="55"/>
      <c r="E32" s="55">
        <f>C32-D32</f>
        <v>0</v>
      </c>
      <c r="F32" s="76">
        <f>E32</f>
        <v>0</v>
      </c>
      <c r="AA32" s="92">
        <v>16</v>
      </c>
      <c r="AB32" s="93">
        <f ca="1">10^(FORECAST(AA32,LOG(OFFSET(Z$10:Z$27,MATCH(AA32,AG$10:AG$27,-1)-1,0,2)),OFFSET(AG$10:AG$27,MATCH(AA32,AG$10:AG$27,-1)-1,0,2)))</f>
        <v>0.83614844631681451</v>
      </c>
      <c r="AC32"/>
    </row>
    <row r="33" spans="2:34" ht="14.45" x14ac:dyDescent="0.3">
      <c r="B33" s="71" t="s">
        <v>59</v>
      </c>
      <c r="C33" s="55"/>
      <c r="D33" s="55"/>
      <c r="E33" s="55">
        <f t="shared" ref="E33:E43" si="9">C33-D33</f>
        <v>0</v>
      </c>
      <c r="F33" s="76">
        <f>F32+E33</f>
        <v>0</v>
      </c>
      <c r="AA33" s="92">
        <v>50</v>
      </c>
      <c r="AB33" s="93">
        <f ca="1">10^(FORECAST(AA33,LOG(OFFSET(Z$10:Z$27,MATCH(AA33,AG$10:AG$27,-1)-1,0,2)),OFFSET(AG$10:AG$27,MATCH(AA33,AG$10:AG$27,-1)-1,0,2)))</f>
        <v>27.041518803246632</v>
      </c>
      <c r="AC33"/>
    </row>
    <row r="34" spans="2:34" ht="15" x14ac:dyDescent="0.25">
      <c r="B34" s="71" t="s">
        <v>60</v>
      </c>
      <c r="C34" s="55"/>
      <c r="D34" s="55"/>
      <c r="E34" s="55">
        <f t="shared" si="9"/>
        <v>0</v>
      </c>
      <c r="F34" s="138">
        <f t="shared" ref="F34:F43" si="10">F33+E34</f>
        <v>0</v>
      </c>
      <c r="AA34" s="92">
        <v>84</v>
      </c>
      <c r="AB34" s="93">
        <f ca="1">10^(FORECAST(AA34,LOG(OFFSET(Z$10:Z$27,MATCH(AA34,AG$10:AG$27,-1)-1,0,2)),OFFSET(AG$10:AG$27,MATCH(AA34,AG$10:AG$27,-1)-1,0,2)))</f>
        <v>82.004875213172639</v>
      </c>
      <c r="AC34"/>
    </row>
    <row r="35" spans="2:34" ht="15" x14ac:dyDescent="0.25">
      <c r="B35" s="71" t="s">
        <v>61</v>
      </c>
      <c r="C35" s="79">
        <v>34.6</v>
      </c>
      <c r="D35" s="55">
        <v>1.7</v>
      </c>
      <c r="E35" s="55">
        <f t="shared" si="9"/>
        <v>32.9</v>
      </c>
      <c r="F35" s="138">
        <f t="shared" si="10"/>
        <v>32.9</v>
      </c>
      <c r="Y35"/>
      <c r="Z35"/>
      <c r="AA35" s="92">
        <v>90</v>
      </c>
      <c r="AB35" s="93">
        <f ca="1">10^(FORECAST(AA35,LOG(OFFSET(Z$10:Z$27,MATCH(AA35,AG$10:AG$27,-1)-1,0,2)),OFFSET(AG$10:AG$27,MATCH(AA35,AG$10:AG$27,-1)-1,0,2)))</f>
        <v>110.86328842411382</v>
      </c>
      <c r="AC35"/>
    </row>
    <row r="36" spans="2:34" ht="15" x14ac:dyDescent="0.25">
      <c r="B36" s="80" t="s">
        <v>62</v>
      </c>
      <c r="C36" s="67">
        <v>19.5</v>
      </c>
      <c r="D36" s="55">
        <v>1.7</v>
      </c>
      <c r="E36" s="55">
        <f t="shared" si="9"/>
        <v>17.8</v>
      </c>
      <c r="F36" s="138">
        <f t="shared" si="10"/>
        <v>50.7</v>
      </c>
      <c r="Y36"/>
      <c r="Z36"/>
      <c r="AA36" s="94"/>
      <c r="AB36" s="94"/>
      <c r="AC36"/>
    </row>
    <row r="37" spans="2:34" ht="15" x14ac:dyDescent="0.25">
      <c r="B37" s="80" t="s">
        <v>63</v>
      </c>
      <c r="C37" s="67">
        <v>51.4</v>
      </c>
      <c r="D37" s="55">
        <v>1.7</v>
      </c>
      <c r="E37" s="55">
        <f t="shared" si="9"/>
        <v>49.699999999999996</v>
      </c>
      <c r="F37" s="138">
        <f t="shared" si="10"/>
        <v>100.4</v>
      </c>
      <c r="Y37"/>
      <c r="Z37"/>
      <c r="AA37" s="92" t="s">
        <v>73</v>
      </c>
      <c r="AB37" s="93">
        <f ca="1">0.5*(AB34/AB33+AB33/AB32)</f>
        <v>17.686563034043957</v>
      </c>
      <c r="AC37"/>
    </row>
    <row r="38" spans="2:34" ht="15" x14ac:dyDescent="0.25">
      <c r="B38" s="67">
        <v>45</v>
      </c>
      <c r="C38" s="67">
        <v>51</v>
      </c>
      <c r="D38" s="55">
        <v>1.7</v>
      </c>
      <c r="E38" s="55">
        <f t="shared" si="9"/>
        <v>49.3</v>
      </c>
      <c r="F38" s="138">
        <f t="shared" si="10"/>
        <v>149.69999999999999</v>
      </c>
      <c r="Y38"/>
      <c r="Z38"/>
      <c r="AA38" s="94" t="s">
        <v>74</v>
      </c>
      <c r="AB38" s="93">
        <f>100-AG22</f>
        <v>78.725042525524998</v>
      </c>
      <c r="AC38"/>
    </row>
    <row r="39" spans="2:34" ht="15" x14ac:dyDescent="0.25">
      <c r="B39" s="67">
        <v>32</v>
      </c>
      <c r="C39" s="67">
        <v>39.1</v>
      </c>
      <c r="D39" s="55">
        <v>1.7</v>
      </c>
      <c r="E39" s="55">
        <f t="shared" si="9"/>
        <v>37.4</v>
      </c>
      <c r="F39" s="138">
        <f t="shared" si="10"/>
        <v>187.1</v>
      </c>
      <c r="Y39"/>
      <c r="Z39"/>
      <c r="AA39" s="94" t="s">
        <v>75</v>
      </c>
      <c r="AB39" s="93">
        <f>AG22-AG27</f>
        <v>20.644588364120189</v>
      </c>
      <c r="AC39"/>
    </row>
    <row r="40" spans="2:34" ht="15" x14ac:dyDescent="0.25">
      <c r="B40" s="67">
        <v>22.5</v>
      </c>
      <c r="C40" s="67">
        <v>30.4</v>
      </c>
      <c r="D40" s="55">
        <v>1.7</v>
      </c>
      <c r="E40" s="55">
        <f t="shared" si="9"/>
        <v>28.7</v>
      </c>
      <c r="F40" s="138">
        <f t="shared" si="10"/>
        <v>215.79999999999998</v>
      </c>
      <c r="Y40"/>
      <c r="Z40"/>
      <c r="AA40" s="92" t="s">
        <v>76</v>
      </c>
      <c r="AB40" s="93">
        <f>AG27</f>
        <v>0.6303691103548148</v>
      </c>
      <c r="AC40"/>
    </row>
    <row r="41" spans="2:34" ht="15" x14ac:dyDescent="0.25">
      <c r="B41" s="67">
        <v>16</v>
      </c>
      <c r="C41" s="67">
        <v>29.3</v>
      </c>
      <c r="D41" s="55">
        <v>1.7</v>
      </c>
      <c r="E41" s="55">
        <f t="shared" si="9"/>
        <v>27.6</v>
      </c>
      <c r="F41" s="138">
        <f t="shared" si="10"/>
        <v>243.39999999999998</v>
      </c>
      <c r="Y41"/>
      <c r="Z41"/>
      <c r="AA41"/>
      <c r="AB41"/>
      <c r="AC41"/>
    </row>
    <row r="42" spans="2:34" ht="15" x14ac:dyDescent="0.25">
      <c r="B42" s="67">
        <v>8</v>
      </c>
      <c r="C42" s="67"/>
      <c r="D42" s="55"/>
      <c r="E42" s="55">
        <f t="shared" si="9"/>
        <v>0</v>
      </c>
      <c r="F42" s="138">
        <f t="shared" si="10"/>
        <v>243.39999999999998</v>
      </c>
      <c r="X42"/>
      <c r="Y42"/>
      <c r="Z42"/>
      <c r="AA42"/>
      <c r="AB42"/>
      <c r="AC42"/>
    </row>
    <row r="43" spans="2:34" ht="15.75" thickBot="1" x14ac:dyDescent="0.3">
      <c r="B43" s="147" t="s">
        <v>103</v>
      </c>
      <c r="C43" s="148">
        <v>236.2</v>
      </c>
      <c r="D43" s="148">
        <v>67.400000000000006</v>
      </c>
      <c r="E43" s="151">
        <f t="shared" si="9"/>
        <v>168.79999999999998</v>
      </c>
      <c r="F43" s="152">
        <f t="shared" si="10"/>
        <v>412.19999999999993</v>
      </c>
      <c r="G43" s="8"/>
      <c r="Y43"/>
      <c r="Z43"/>
      <c r="AA43"/>
      <c r="AB43"/>
      <c r="AC43"/>
      <c r="AD43"/>
      <c r="AE43"/>
    </row>
    <row r="44" spans="2:34" ht="16.5" thickTop="1" thickBot="1" x14ac:dyDescent="0.3">
      <c r="B44" s="145" t="s">
        <v>50</v>
      </c>
      <c r="C44" s="146">
        <f>SUM(C32:C43)</f>
        <v>491.5</v>
      </c>
      <c r="D44" s="146">
        <f t="shared" ref="D44" si="11">SUM(D32:D43)</f>
        <v>79.300000000000011</v>
      </c>
      <c r="E44" s="146">
        <f>C44-D44</f>
        <v>412.2</v>
      </c>
      <c r="F44" s="149"/>
      <c r="G44" s="8"/>
      <c r="Y44"/>
      <c r="Z44"/>
      <c r="AA44"/>
      <c r="AB44"/>
      <c r="AC44"/>
      <c r="AD44"/>
      <c r="AE44"/>
    </row>
    <row r="45" spans="2:34" ht="30.75" thickTop="1" thickBot="1" x14ac:dyDescent="0.3">
      <c r="B45" s="144" t="s">
        <v>104</v>
      </c>
      <c r="C45" s="143"/>
      <c r="D45" s="150"/>
      <c r="E45" s="153">
        <v>21.1</v>
      </c>
      <c r="F45" s="8"/>
      <c r="Y45"/>
      <c r="Z45"/>
      <c r="AA45"/>
      <c r="AB45"/>
      <c r="AC45"/>
      <c r="AD45"/>
    </row>
    <row r="46" spans="2:34" ht="15.75" thickTop="1" x14ac:dyDescent="0.25">
      <c r="B46" s="81" t="s">
        <v>64</v>
      </c>
      <c r="J46" s="8"/>
      <c r="Z46"/>
      <c r="AA46"/>
      <c r="AB46"/>
      <c r="AC46"/>
      <c r="AD46"/>
      <c r="AE46"/>
      <c r="AF46"/>
      <c r="AG46"/>
      <c r="AH46"/>
    </row>
    <row r="47" spans="2:34" ht="15" x14ac:dyDescent="0.25">
      <c r="B47" s="81"/>
      <c r="J47" s="8"/>
      <c r="Z47"/>
      <c r="AA47"/>
      <c r="AB47"/>
      <c r="AC47"/>
      <c r="AD47"/>
      <c r="AE47"/>
      <c r="AF47"/>
      <c r="AG47"/>
      <c r="AH47"/>
    </row>
    <row r="48" spans="2:34" ht="15.75" x14ac:dyDescent="0.25">
      <c r="B48" s="166" t="s">
        <v>65</v>
      </c>
      <c r="C48" s="166"/>
      <c r="D48" s="166"/>
      <c r="E48" s="82" t="s">
        <v>129</v>
      </c>
      <c r="F48" s="68"/>
      <c r="G48" s="83" t="s">
        <v>66</v>
      </c>
      <c r="H48" s="84">
        <f>+(E26-E44)/E26</f>
        <v>-4.6307579819643606E-3</v>
      </c>
      <c r="I48" s="82"/>
      <c r="J48" s="8"/>
      <c r="Q48" s="85"/>
      <c r="Z48"/>
      <c r="AA48"/>
      <c r="AB48"/>
      <c r="AC48"/>
      <c r="AD48"/>
      <c r="AE48"/>
      <c r="AF48"/>
      <c r="AG48"/>
      <c r="AH48"/>
    </row>
    <row r="49" spans="2:34" ht="15" x14ac:dyDescent="0.25">
      <c r="B49" s="167" t="s">
        <v>67</v>
      </c>
      <c r="C49" s="167"/>
      <c r="D49" s="167"/>
      <c r="E49" s="83">
        <v>410.3</v>
      </c>
      <c r="Z49"/>
      <c r="AA49"/>
      <c r="AB49"/>
      <c r="AC49"/>
      <c r="AD49"/>
      <c r="AE49"/>
      <c r="AF49"/>
      <c r="AG49"/>
      <c r="AH49"/>
    </row>
    <row r="50" spans="2:34" ht="15" x14ac:dyDescent="0.25">
      <c r="B50" s="73"/>
      <c r="C50" s="73"/>
      <c r="D50" s="73"/>
      <c r="Z50"/>
      <c r="AA50"/>
      <c r="AB50"/>
      <c r="AC50"/>
      <c r="AD50"/>
      <c r="AE50"/>
      <c r="AF50"/>
      <c r="AG50"/>
      <c r="AH50"/>
    </row>
    <row r="51" spans="2:34" ht="15" x14ac:dyDescent="0.25">
      <c r="B51" s="168" t="s">
        <v>68</v>
      </c>
      <c r="C51" s="168"/>
      <c r="D51" s="168"/>
      <c r="E51" s="168"/>
      <c r="F51" s="168"/>
      <c r="G51" s="168"/>
      <c r="H51" s="168"/>
      <c r="I51" s="168"/>
      <c r="J51" s="86"/>
      <c r="Z51"/>
      <c r="AA51"/>
      <c r="AB51"/>
      <c r="AC51"/>
      <c r="AD51"/>
      <c r="AE51"/>
      <c r="AF51"/>
      <c r="AG51"/>
      <c r="AH51"/>
    </row>
    <row r="52" spans="2:34" ht="15" x14ac:dyDescent="0.25">
      <c r="B52" s="168"/>
      <c r="C52" s="168"/>
      <c r="D52" s="168"/>
      <c r="E52" s="168"/>
      <c r="F52" s="168"/>
      <c r="G52" s="168"/>
      <c r="H52" s="168"/>
      <c r="I52" s="168"/>
      <c r="J52" s="86"/>
      <c r="Z52"/>
      <c r="AA52"/>
      <c r="AB52"/>
      <c r="AC52"/>
      <c r="AD52"/>
      <c r="AE52"/>
      <c r="AF52"/>
      <c r="AG52"/>
      <c r="AH52"/>
    </row>
    <row r="53" spans="2:34" ht="15" x14ac:dyDescent="0.25">
      <c r="B53" s="6" t="s">
        <v>69</v>
      </c>
      <c r="C53" s="6" t="s">
        <v>119</v>
      </c>
      <c r="E53" s="1" t="s">
        <v>70</v>
      </c>
      <c r="F53" s="6">
        <v>8219</v>
      </c>
      <c r="G53" s="87"/>
      <c r="H53" s="41" t="s">
        <v>71</v>
      </c>
      <c r="I53" s="121">
        <v>1</v>
      </c>
      <c r="J53" s="1" t="s">
        <v>106</v>
      </c>
      <c r="K53" s="6">
        <v>1</v>
      </c>
      <c r="Z53"/>
      <c r="AA53"/>
      <c r="AB53"/>
      <c r="AC53"/>
      <c r="AD53"/>
      <c r="AE53"/>
      <c r="AF53"/>
      <c r="AG53"/>
      <c r="AH53"/>
    </row>
    <row r="54" spans="2:34" ht="15" x14ac:dyDescent="0.25">
      <c r="J54" s="72"/>
      <c r="Z54"/>
      <c r="AA54"/>
      <c r="AB54"/>
      <c r="AC54"/>
      <c r="AD54"/>
      <c r="AE54"/>
      <c r="AF54"/>
      <c r="AG54"/>
      <c r="AH54"/>
    </row>
    <row r="55" spans="2:34" ht="15" x14ac:dyDescent="0.25">
      <c r="J55" s="72"/>
      <c r="Z55"/>
      <c r="AA55"/>
      <c r="AB55"/>
      <c r="AC55"/>
      <c r="AD55"/>
      <c r="AE55"/>
      <c r="AF55"/>
      <c r="AG55"/>
      <c r="AH55"/>
    </row>
    <row r="56" spans="2:34" ht="15" x14ac:dyDescent="0.25">
      <c r="J56" s="72"/>
      <c r="Z56"/>
      <c r="AA56"/>
      <c r="AB56"/>
      <c r="AC56"/>
      <c r="AD56"/>
      <c r="AE56"/>
      <c r="AF56"/>
      <c r="AG56"/>
      <c r="AH56"/>
    </row>
    <row r="57" spans="2:34" ht="15" x14ac:dyDescent="0.25">
      <c r="J57" s="72"/>
      <c r="Z57"/>
      <c r="AA57"/>
      <c r="AB57"/>
      <c r="AC57"/>
      <c r="AD57"/>
      <c r="AE57"/>
      <c r="AF57"/>
      <c r="AG57"/>
      <c r="AH57"/>
    </row>
    <row r="58" spans="2:34" ht="15" x14ac:dyDescent="0.25">
      <c r="B58" s="8"/>
      <c r="C58" s="8"/>
      <c r="Z58"/>
      <c r="AA58"/>
      <c r="AB58"/>
      <c r="AC58"/>
      <c r="AD58"/>
      <c r="AE58"/>
      <c r="AF58"/>
      <c r="AG58"/>
      <c r="AH58"/>
    </row>
  </sheetData>
  <mergeCells count="8">
    <mergeCell ref="B48:D48"/>
    <mergeCell ref="B49:D49"/>
    <mergeCell ref="B51:I52"/>
    <mergeCell ref="Z1:AG1"/>
    <mergeCell ref="B3:J3"/>
    <mergeCell ref="AA7:AD7"/>
    <mergeCell ref="B12:E12"/>
    <mergeCell ref="B28:F2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102"/>
  <sheetViews>
    <sheetView zoomScale="90" zoomScaleNormal="90" workbookViewId="0">
      <selection activeCell="W26" sqref="W26"/>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5" width="9.7109375" style="1" customWidth="1"/>
    <col min="6" max="6" width="11.5703125" style="1" customWidth="1"/>
    <col min="7" max="7" width="6.7109375" style="1" customWidth="1"/>
    <col min="8" max="8" width="6.7109375" style="7" customWidth="1"/>
    <col min="9" max="9" width="6.7109375" style="8" customWidth="1"/>
    <col min="10" max="12" width="9.7109375" style="8" customWidth="1"/>
    <col min="13" max="13" width="11" style="8" customWidth="1"/>
    <col min="14" max="14" width="6.7109375" style="8" customWidth="1"/>
    <col min="15" max="15" width="7.85546875" style="8" customWidth="1"/>
    <col min="16" max="16" width="6.7109375" style="8" customWidth="1"/>
    <col min="17" max="20" width="9.7109375" style="8" customWidth="1"/>
    <col min="21" max="21" width="6.7109375" style="1" customWidth="1"/>
    <col min="22" max="24" width="8.28515625" style="1" customWidth="1"/>
    <col min="25" max="25" width="16.7109375" style="1" customWidth="1"/>
    <col min="26" max="26" width="14.85546875" style="1" bestFit="1" customWidth="1"/>
    <col min="27" max="27" width="15.7109375" style="1" customWidth="1"/>
    <col min="28" max="31" width="15.7109375" style="8" customWidth="1"/>
    <col min="32" max="32" width="11.140625" style="8" customWidth="1"/>
    <col min="33" max="33" width="9.140625" style="1" customWidth="1"/>
    <col min="34" max="16384" width="8.85546875" style="1"/>
  </cols>
  <sheetData>
    <row r="1" spans="2:33" ht="13.9" x14ac:dyDescent="0.25">
      <c r="H1" s="2"/>
      <c r="I1" s="1"/>
      <c r="J1" s="1"/>
      <c r="K1" s="1"/>
      <c r="L1" s="1"/>
      <c r="M1" s="1"/>
      <c r="N1" s="1"/>
      <c r="O1" s="1"/>
      <c r="P1" s="1"/>
      <c r="Q1" s="1"/>
      <c r="R1" s="1"/>
      <c r="S1" s="1"/>
      <c r="T1" s="1"/>
      <c r="AB1" s="1"/>
      <c r="AC1" s="1"/>
      <c r="AD1" s="1"/>
      <c r="AE1" s="1"/>
      <c r="AF1" s="1"/>
    </row>
    <row r="2" spans="2:33" ht="22.9" x14ac:dyDescent="0.4">
      <c r="B2" s="169" t="s">
        <v>123</v>
      </c>
      <c r="C2" s="169"/>
      <c r="D2" s="169"/>
      <c r="E2" s="169"/>
      <c r="F2" s="169"/>
      <c r="G2" s="169"/>
      <c r="H2" s="169"/>
      <c r="I2" s="169"/>
      <c r="J2" s="169"/>
      <c r="K2" s="169"/>
      <c r="L2" s="169"/>
      <c r="M2" s="169"/>
      <c r="N2" s="169"/>
      <c r="O2" s="169"/>
      <c r="P2" s="169"/>
      <c r="Q2" s="169"/>
      <c r="R2" s="169"/>
      <c r="S2" s="169"/>
      <c r="T2" s="169"/>
      <c r="U2" s="169"/>
      <c r="V2" s="169"/>
      <c r="Y2" s="169" t="s">
        <v>123</v>
      </c>
      <c r="Z2" s="169"/>
      <c r="AA2" s="169"/>
      <c r="AB2" s="169"/>
      <c r="AC2" s="169"/>
      <c r="AD2" s="169"/>
      <c r="AE2" s="169"/>
      <c r="AF2" s="169"/>
    </row>
    <row r="3" spans="2:33" ht="22.9" x14ac:dyDescent="0.4">
      <c r="B3" s="4"/>
      <c r="C3" s="4"/>
      <c r="D3" s="4"/>
      <c r="E3" s="4"/>
      <c r="F3" s="4"/>
      <c r="G3" s="4"/>
      <c r="H3" s="5"/>
      <c r="I3" s="4"/>
      <c r="J3" s="4"/>
      <c r="K3" s="4"/>
      <c r="L3" s="4"/>
      <c r="M3" s="4"/>
      <c r="N3" s="4"/>
      <c r="O3" s="4"/>
      <c r="P3" s="4"/>
      <c r="Q3" s="4"/>
      <c r="R3" s="4"/>
      <c r="S3" s="4"/>
      <c r="T3" s="4"/>
      <c r="U3" s="3"/>
      <c r="Y3" s="4"/>
      <c r="Z3" s="4"/>
      <c r="AA3" s="4"/>
      <c r="AB3" s="4"/>
      <c r="AC3" s="4"/>
      <c r="AD3" s="4"/>
      <c r="AE3" s="4"/>
      <c r="AF3" s="4"/>
    </row>
    <row r="4" spans="2:33" ht="13.9" x14ac:dyDescent="0.25">
      <c r="B4" s="203" t="s">
        <v>0</v>
      </c>
      <c r="C4" s="203"/>
      <c r="D4" s="6" t="s">
        <v>124</v>
      </c>
      <c r="E4" s="6"/>
      <c r="F4" s="6"/>
      <c r="G4" s="6"/>
      <c r="J4" s="1"/>
      <c r="K4" s="6" t="s">
        <v>1</v>
      </c>
      <c r="L4" s="6" t="s">
        <v>132</v>
      </c>
      <c r="M4" s="6"/>
      <c r="N4" s="6"/>
      <c r="O4" s="6"/>
      <c r="P4" s="6"/>
      <c r="Q4" s="6"/>
      <c r="R4" s="6"/>
      <c r="S4" s="6"/>
      <c r="T4" s="6"/>
      <c r="Y4" s="8" t="s">
        <v>0</v>
      </c>
      <c r="Z4" s="6" t="str">
        <f>D4</f>
        <v>Susitna</v>
      </c>
      <c r="AA4" s="6"/>
      <c r="AB4" s="1"/>
    </row>
    <row r="5" spans="2:33" ht="13.9" x14ac:dyDescent="0.25">
      <c r="B5" s="200" t="s">
        <v>4</v>
      </c>
      <c r="C5" s="200"/>
      <c r="D5" s="9">
        <v>174.4</v>
      </c>
      <c r="E5" s="9"/>
      <c r="F5" s="9"/>
      <c r="G5" s="9"/>
      <c r="J5" s="1"/>
      <c r="K5" s="200" t="s">
        <v>6</v>
      </c>
      <c r="L5" s="200"/>
      <c r="M5" s="9" t="s">
        <v>133</v>
      </c>
      <c r="N5" s="9"/>
      <c r="O5" s="9"/>
      <c r="P5" s="9"/>
      <c r="Q5" s="9"/>
      <c r="R5" s="9"/>
      <c r="S5" s="9"/>
      <c r="T5" s="9"/>
      <c r="Y5" s="8" t="s">
        <v>3</v>
      </c>
      <c r="Z5" s="9">
        <f>D5</f>
        <v>174.4</v>
      </c>
      <c r="AA5" s="9"/>
      <c r="AB5" s="1"/>
    </row>
    <row r="6" spans="2:33" ht="13.9" x14ac:dyDescent="0.25">
      <c r="B6" s="200" t="s">
        <v>5</v>
      </c>
      <c r="C6" s="200"/>
      <c r="D6" s="10">
        <v>41836</v>
      </c>
      <c r="E6" s="11"/>
      <c r="F6" s="9"/>
      <c r="G6" s="9"/>
      <c r="J6" s="1"/>
      <c r="K6" s="8" t="s">
        <v>116</v>
      </c>
      <c r="M6" s="142">
        <v>3205317.2</v>
      </c>
      <c r="N6" s="9"/>
      <c r="O6" s="9"/>
      <c r="P6" s="9"/>
      <c r="Q6" s="9"/>
      <c r="R6" s="9"/>
      <c r="S6" s="9"/>
      <c r="T6" s="9"/>
      <c r="U6" s="9"/>
      <c r="V6" s="9"/>
      <c r="Y6" s="8" t="s">
        <v>5</v>
      </c>
      <c r="Z6" s="10">
        <f>D6</f>
        <v>41836</v>
      </c>
      <c r="AA6" s="11"/>
    </row>
    <row r="7" spans="2:33" ht="13.9" x14ac:dyDescent="0.25">
      <c r="B7" s="200" t="s">
        <v>108</v>
      </c>
      <c r="C7" s="200"/>
      <c r="D7" s="9" t="s">
        <v>125</v>
      </c>
      <c r="E7" s="9"/>
      <c r="F7" s="9"/>
      <c r="G7" s="9"/>
      <c r="J7" s="13"/>
      <c r="K7" s="14" t="s">
        <v>117</v>
      </c>
      <c r="L7" s="14"/>
      <c r="M7" s="15">
        <v>1834808.2</v>
      </c>
      <c r="N7" s="16"/>
      <c r="O7" s="16"/>
      <c r="P7" s="16"/>
      <c r="Q7" s="9"/>
      <c r="R7" s="9"/>
      <c r="S7" s="9"/>
      <c r="T7" s="9"/>
      <c r="U7" s="9"/>
      <c r="V7" s="9"/>
      <c r="Y7" s="8"/>
      <c r="Z7" s="8"/>
      <c r="AA7" s="8"/>
      <c r="AE7" s="17"/>
    </row>
    <row r="8" spans="2:33" ht="13.9" x14ac:dyDescent="0.25">
      <c r="B8" s="15" t="s">
        <v>98</v>
      </c>
      <c r="C8" s="15"/>
      <c r="D8" s="9" t="s">
        <v>126</v>
      </c>
      <c r="E8" s="9"/>
      <c r="F8" s="9"/>
      <c r="G8" s="9"/>
      <c r="J8" s="13"/>
      <c r="K8" s="14" t="s">
        <v>8</v>
      </c>
      <c r="L8" s="14"/>
      <c r="M8" s="15" t="s">
        <v>134</v>
      </c>
      <c r="N8" s="16"/>
      <c r="O8" s="16"/>
      <c r="P8" s="16"/>
      <c r="Q8" s="9"/>
      <c r="R8" s="9"/>
      <c r="S8" s="9"/>
      <c r="T8" s="9"/>
      <c r="U8" s="9"/>
      <c r="V8" s="9"/>
      <c r="Y8" s="8"/>
      <c r="Z8" s="8"/>
      <c r="AA8" s="8"/>
      <c r="AE8" s="17"/>
    </row>
    <row r="9" spans="2:33" ht="13.9" x14ac:dyDescent="0.25">
      <c r="B9" s="136" t="s">
        <v>114</v>
      </c>
      <c r="C9" s="136"/>
      <c r="D9" s="9"/>
      <c r="E9" s="9"/>
      <c r="F9" s="9"/>
      <c r="G9" s="9" t="s">
        <v>130</v>
      </c>
      <c r="K9" s="9"/>
      <c r="L9" s="9"/>
      <c r="M9" s="9"/>
      <c r="N9" s="9"/>
      <c r="O9" s="9"/>
      <c r="P9" s="9"/>
      <c r="Q9" s="9"/>
      <c r="R9" s="9"/>
      <c r="S9" s="9"/>
      <c r="T9" s="9"/>
      <c r="U9" s="9"/>
      <c r="V9" s="9"/>
      <c r="Y9" s="8" t="s">
        <v>9</v>
      </c>
      <c r="Z9" s="8"/>
      <c r="AA9" s="8"/>
      <c r="AB9" s="18"/>
      <c r="AC9" s="17"/>
      <c r="AD9" s="17"/>
      <c r="AE9" s="17"/>
    </row>
    <row r="10" spans="2:33" ht="13.9" x14ac:dyDescent="0.25">
      <c r="B10" s="6" t="s">
        <v>115</v>
      </c>
      <c r="C10" s="6"/>
      <c r="D10" s="9" t="s">
        <v>131</v>
      </c>
      <c r="E10" s="9"/>
      <c r="F10" s="9"/>
      <c r="G10" s="9"/>
      <c r="H10" s="2"/>
      <c r="I10" s="1"/>
      <c r="J10" s="1"/>
      <c r="K10" s="9"/>
      <c r="L10" s="9"/>
      <c r="M10" s="9"/>
      <c r="N10" s="9"/>
      <c r="O10" s="9"/>
      <c r="P10" s="9"/>
      <c r="Q10" s="9"/>
      <c r="R10" s="9"/>
      <c r="S10" s="9"/>
      <c r="T10" s="9"/>
      <c r="U10" s="9"/>
      <c r="V10" s="9"/>
      <c r="Y10" s="6" t="s">
        <v>118</v>
      </c>
      <c r="Z10" s="6"/>
      <c r="AA10" s="6"/>
      <c r="AB10" s="19"/>
      <c r="AC10" s="20"/>
      <c r="AD10" s="20"/>
      <c r="AE10" s="20"/>
      <c r="AF10" s="6"/>
    </row>
    <row r="11" spans="2:33" s="8" customFormat="1" ht="15.6" x14ac:dyDescent="0.3">
      <c r="B11" s="21"/>
      <c r="C11" s="201"/>
      <c r="D11" s="201"/>
      <c r="E11" s="201"/>
      <c r="F11" s="201"/>
      <c r="G11" s="201"/>
      <c r="H11" s="201"/>
      <c r="I11" s="22"/>
      <c r="J11" s="22"/>
      <c r="K11" s="22"/>
      <c r="L11" s="22"/>
      <c r="N11" s="21"/>
      <c r="Y11" s="9"/>
      <c r="Z11" s="9"/>
      <c r="AA11" s="9"/>
      <c r="AB11" s="14"/>
      <c r="AC11" s="16"/>
      <c r="AD11" s="16"/>
      <c r="AE11" s="16"/>
      <c r="AF11" s="9"/>
      <c r="AG11" s="1"/>
    </row>
    <row r="12" spans="2:33" s="8" customFormat="1" ht="31.9" thickBot="1" x14ac:dyDescent="0.3">
      <c r="B12" s="23" t="s">
        <v>10</v>
      </c>
      <c r="C12" s="202" t="s">
        <v>11</v>
      </c>
      <c r="D12" s="202"/>
      <c r="E12" s="202"/>
      <c r="F12" s="202"/>
      <c r="G12" s="24" t="s">
        <v>121</v>
      </c>
      <c r="H12" s="24" t="s">
        <v>12</v>
      </c>
      <c r="I12" s="23" t="s">
        <v>10</v>
      </c>
      <c r="J12" s="202" t="s">
        <v>13</v>
      </c>
      <c r="K12" s="202"/>
      <c r="L12" s="202"/>
      <c r="M12" s="202"/>
      <c r="N12" s="24" t="s">
        <v>121</v>
      </c>
      <c r="O12" s="24" t="s">
        <v>12</v>
      </c>
      <c r="P12" s="23" t="s">
        <v>10</v>
      </c>
      <c r="Q12" s="202" t="s">
        <v>14</v>
      </c>
      <c r="R12" s="202"/>
      <c r="S12" s="202"/>
      <c r="T12" s="202"/>
      <c r="U12" s="24" t="s">
        <v>121</v>
      </c>
      <c r="V12" s="24" t="s">
        <v>12</v>
      </c>
      <c r="W12" s="103" t="s">
        <v>15</v>
      </c>
      <c r="X12" s="119"/>
      <c r="Y12" s="9"/>
      <c r="Z12" s="9"/>
      <c r="AA12" s="9"/>
      <c r="AB12" s="14"/>
      <c r="AC12" s="16"/>
      <c r="AD12" s="16"/>
      <c r="AE12" s="16"/>
      <c r="AF12" s="9"/>
      <c r="AG12" s="1"/>
    </row>
    <row r="13" spans="2:33" s="27" customFormat="1" ht="13.9" x14ac:dyDescent="0.25">
      <c r="B13" s="104" t="s">
        <v>16</v>
      </c>
      <c r="C13" s="204"/>
      <c r="D13" s="204"/>
      <c r="E13" s="204"/>
      <c r="F13" s="204"/>
      <c r="G13" s="25">
        <v>7</v>
      </c>
      <c r="H13" s="105">
        <f>G13</f>
        <v>7</v>
      </c>
      <c r="I13" s="106" t="s">
        <v>16</v>
      </c>
      <c r="J13" s="204"/>
      <c r="K13" s="204"/>
      <c r="L13" s="204"/>
      <c r="M13" s="204"/>
      <c r="N13" s="25">
        <v>4</v>
      </c>
      <c r="O13" s="105">
        <f>N13</f>
        <v>4</v>
      </c>
      <c r="P13" s="106" t="s">
        <v>16</v>
      </c>
      <c r="Q13" s="204"/>
      <c r="R13" s="204"/>
      <c r="S13" s="204"/>
      <c r="T13" s="204"/>
      <c r="U13" s="25">
        <v>1</v>
      </c>
      <c r="V13" s="105">
        <f>U13</f>
        <v>1</v>
      </c>
      <c r="W13" s="107">
        <f>AVERAGE(V13,O13,H13)</f>
        <v>4</v>
      </c>
      <c r="X13" s="33"/>
      <c r="Y13" s="9"/>
      <c r="Z13" s="9"/>
      <c r="AA13" s="9"/>
      <c r="AB13" s="14"/>
      <c r="AC13" s="16"/>
      <c r="AD13" s="16"/>
      <c r="AE13" s="16"/>
      <c r="AF13" s="9"/>
      <c r="AG13" s="1"/>
    </row>
    <row r="14" spans="2:33" s="27" customFormat="1" ht="13.9" x14ac:dyDescent="0.25">
      <c r="B14" s="108">
        <v>2</v>
      </c>
      <c r="C14" s="192"/>
      <c r="D14" s="192"/>
      <c r="E14" s="192"/>
      <c r="F14" s="192"/>
      <c r="G14" s="28"/>
      <c r="H14" s="109">
        <v>0</v>
      </c>
      <c r="I14" s="110">
        <v>2</v>
      </c>
      <c r="J14" s="192"/>
      <c r="K14" s="192"/>
      <c r="L14" s="192"/>
      <c r="M14" s="192"/>
      <c r="N14" s="28"/>
      <c r="O14" s="109">
        <v>0</v>
      </c>
      <c r="P14" s="110">
        <v>2</v>
      </c>
      <c r="Q14" s="192"/>
      <c r="R14" s="192"/>
      <c r="S14" s="192"/>
      <c r="T14" s="192"/>
      <c r="U14" s="28"/>
      <c r="V14" s="109">
        <v>0</v>
      </c>
      <c r="W14" s="111">
        <f>AVERAGE(V14,O14,H14)</f>
        <v>0</v>
      </c>
      <c r="X14" s="33"/>
      <c r="Y14" s="9"/>
      <c r="Z14" s="9"/>
      <c r="AA14" s="9"/>
      <c r="AB14" s="14"/>
      <c r="AC14" s="16"/>
      <c r="AD14" s="16"/>
      <c r="AE14" s="16"/>
      <c r="AF14" s="9"/>
      <c r="AG14" s="1"/>
    </row>
    <row r="15" spans="2:33" s="27" customFormat="1" ht="13.9" x14ac:dyDescent="0.25">
      <c r="B15" s="112">
        <v>2.8</v>
      </c>
      <c r="C15" s="192"/>
      <c r="D15" s="192"/>
      <c r="E15" s="192"/>
      <c r="F15" s="192"/>
      <c r="G15" s="28"/>
      <c r="H15" s="109">
        <f>100*G14/SUM(G$14:G$31)+H14</f>
        <v>0</v>
      </c>
      <c r="I15" s="113">
        <v>2.8</v>
      </c>
      <c r="J15" s="192"/>
      <c r="K15" s="192"/>
      <c r="L15" s="192"/>
      <c r="M15" s="192"/>
      <c r="N15" s="28"/>
      <c r="O15" s="109">
        <f>100*N14/SUM(N$14:N$31)+O14</f>
        <v>0</v>
      </c>
      <c r="P15" s="113">
        <v>2.8</v>
      </c>
      <c r="Q15" s="192"/>
      <c r="R15" s="192"/>
      <c r="S15" s="192"/>
      <c r="T15" s="192"/>
      <c r="U15" s="28"/>
      <c r="V15" s="109">
        <f>100*U14/SUM(U$14:U$31)+V14</f>
        <v>0</v>
      </c>
      <c r="W15" s="111">
        <f t="shared" ref="W15:W26" si="0">AVERAGE(V15,O15,H15)</f>
        <v>0</v>
      </c>
      <c r="X15" s="33"/>
      <c r="Y15" s="9"/>
      <c r="Z15" s="9"/>
      <c r="AA15" s="9"/>
      <c r="AB15" s="14"/>
      <c r="AC15" s="16"/>
      <c r="AD15" s="16"/>
      <c r="AE15" s="16"/>
      <c r="AF15" s="9"/>
      <c r="AG15" s="1"/>
    </row>
    <row r="16" spans="2:33" s="27" customFormat="1" ht="13.9" x14ac:dyDescent="0.25">
      <c r="B16" s="108">
        <v>4</v>
      </c>
      <c r="C16" s="192"/>
      <c r="D16" s="192"/>
      <c r="E16" s="192"/>
      <c r="F16" s="192"/>
      <c r="G16" s="28"/>
      <c r="H16" s="109">
        <f t="shared" ref="H16:H31" si="1">100*G15/SUM(G$14:G$31)+H15</f>
        <v>0</v>
      </c>
      <c r="I16" s="110">
        <v>4</v>
      </c>
      <c r="J16" s="192"/>
      <c r="K16" s="192"/>
      <c r="L16" s="192"/>
      <c r="M16" s="192"/>
      <c r="N16" s="28">
        <v>1</v>
      </c>
      <c r="O16" s="109">
        <f t="shared" ref="O16:O31" si="2">100*N15/SUM(N$14:N$31)+O15</f>
        <v>0</v>
      </c>
      <c r="P16" s="110">
        <v>4</v>
      </c>
      <c r="Q16" s="192"/>
      <c r="R16" s="192"/>
      <c r="S16" s="192"/>
      <c r="T16" s="192"/>
      <c r="U16" s="28">
        <v>1</v>
      </c>
      <c r="V16" s="109">
        <f t="shared" ref="V16:V31" si="3">100*U15/SUM(U$14:U$31)+V15</f>
        <v>0</v>
      </c>
      <c r="W16" s="111">
        <f t="shared" si="0"/>
        <v>0</v>
      </c>
      <c r="X16" s="33"/>
      <c r="Y16" s="9"/>
      <c r="Z16" s="9"/>
      <c r="AA16" s="9"/>
      <c r="AB16" s="14"/>
      <c r="AC16" s="9"/>
      <c r="AD16" s="9"/>
      <c r="AE16" s="9"/>
      <c r="AF16" s="9"/>
      <c r="AG16" s="1"/>
    </row>
    <row r="17" spans="2:33" s="27" customFormat="1" ht="17.45" x14ac:dyDescent="0.3">
      <c r="B17" s="108">
        <v>5.6</v>
      </c>
      <c r="C17" s="192"/>
      <c r="D17" s="192"/>
      <c r="E17" s="192"/>
      <c r="F17" s="192"/>
      <c r="G17" s="28">
        <v>1</v>
      </c>
      <c r="H17" s="109">
        <f t="shared" si="1"/>
        <v>0</v>
      </c>
      <c r="I17" s="110">
        <v>5.6</v>
      </c>
      <c r="J17" s="192"/>
      <c r="K17" s="192"/>
      <c r="L17" s="192"/>
      <c r="M17" s="192"/>
      <c r="N17" s="28">
        <v>1</v>
      </c>
      <c r="O17" s="109">
        <f t="shared" si="2"/>
        <v>1</v>
      </c>
      <c r="P17" s="110">
        <v>5.6</v>
      </c>
      <c r="Q17" s="192"/>
      <c r="R17" s="192"/>
      <c r="S17" s="192"/>
      <c r="T17" s="192"/>
      <c r="U17" s="28"/>
      <c r="V17" s="109">
        <f t="shared" si="3"/>
        <v>1</v>
      </c>
      <c r="W17" s="111">
        <f t="shared" si="0"/>
        <v>0.66666666666666663</v>
      </c>
      <c r="X17" s="33"/>
      <c r="Y17" s="29" t="s">
        <v>17</v>
      </c>
      <c r="Z17" s="30"/>
      <c r="AA17" s="30"/>
      <c r="AB17" s="31"/>
      <c r="AC17" s="32"/>
      <c r="AD17" s="32"/>
      <c r="AE17" s="32"/>
      <c r="AF17" s="32"/>
      <c r="AG17" s="1"/>
    </row>
    <row r="18" spans="2:33" s="27" customFormat="1" ht="13.9" x14ac:dyDescent="0.25">
      <c r="B18" s="108">
        <v>8</v>
      </c>
      <c r="C18" s="192"/>
      <c r="D18" s="192"/>
      <c r="E18" s="192"/>
      <c r="F18" s="192"/>
      <c r="G18" s="28">
        <v>1</v>
      </c>
      <c r="H18" s="109">
        <f t="shared" si="1"/>
        <v>1</v>
      </c>
      <c r="I18" s="110">
        <v>8</v>
      </c>
      <c r="J18" s="192"/>
      <c r="K18" s="192"/>
      <c r="L18" s="192"/>
      <c r="M18" s="192"/>
      <c r="N18" s="28">
        <v>3</v>
      </c>
      <c r="O18" s="109">
        <f t="shared" si="2"/>
        <v>2</v>
      </c>
      <c r="P18" s="110">
        <v>8</v>
      </c>
      <c r="Q18" s="192"/>
      <c r="R18" s="192"/>
      <c r="S18" s="192"/>
      <c r="T18" s="192"/>
      <c r="U18" s="28"/>
      <c r="V18" s="109">
        <f t="shared" si="3"/>
        <v>1</v>
      </c>
      <c r="W18" s="111">
        <f t="shared" si="0"/>
        <v>1.3333333333333333</v>
      </c>
      <c r="X18" s="33"/>
      <c r="Y18" s="32" t="s">
        <v>18</v>
      </c>
      <c r="Z18" s="198" t="s">
        <v>19</v>
      </c>
      <c r="AA18" s="198"/>
      <c r="AB18" s="198"/>
      <c r="AC18" s="198"/>
      <c r="AD18" s="198"/>
      <c r="AE18" s="198"/>
      <c r="AF18" s="198"/>
      <c r="AG18" s="8"/>
    </row>
    <row r="19" spans="2:33" s="27" customFormat="1" ht="13.9" x14ac:dyDescent="0.25">
      <c r="B19" s="108">
        <v>11</v>
      </c>
      <c r="C19" s="192"/>
      <c r="D19" s="192"/>
      <c r="E19" s="192"/>
      <c r="F19" s="192"/>
      <c r="G19" s="28">
        <v>4</v>
      </c>
      <c r="H19" s="109">
        <f t="shared" si="1"/>
        <v>2</v>
      </c>
      <c r="I19" s="110">
        <v>11</v>
      </c>
      <c r="J19" s="192"/>
      <c r="K19" s="192"/>
      <c r="L19" s="192"/>
      <c r="M19" s="192"/>
      <c r="N19" s="28">
        <v>4</v>
      </c>
      <c r="O19" s="109">
        <f t="shared" si="2"/>
        <v>5</v>
      </c>
      <c r="P19" s="110">
        <v>11</v>
      </c>
      <c r="Q19" s="192"/>
      <c r="R19" s="192"/>
      <c r="S19" s="192"/>
      <c r="T19" s="192"/>
      <c r="U19" s="28">
        <v>2</v>
      </c>
      <c r="V19" s="109">
        <f t="shared" si="3"/>
        <v>1</v>
      </c>
      <c r="W19" s="111">
        <f>AVERAGE(V19,O19,H19)</f>
        <v>2.6666666666666665</v>
      </c>
      <c r="X19" s="33"/>
      <c r="Y19" s="164">
        <v>8212</v>
      </c>
      <c r="Z19" s="193" t="s">
        <v>135</v>
      </c>
      <c r="AA19" s="193"/>
      <c r="AB19" s="193"/>
      <c r="AC19" s="193"/>
      <c r="AD19" s="193"/>
      <c r="AE19" s="193"/>
      <c r="AF19" s="193"/>
    </row>
    <row r="20" spans="2:33" s="27" customFormat="1" ht="13.9" x14ac:dyDescent="0.25">
      <c r="B20" s="108">
        <v>16</v>
      </c>
      <c r="C20" s="192"/>
      <c r="D20" s="192"/>
      <c r="E20" s="192"/>
      <c r="F20" s="192"/>
      <c r="G20" s="28">
        <v>3</v>
      </c>
      <c r="H20" s="109">
        <f t="shared" si="1"/>
        <v>6</v>
      </c>
      <c r="I20" s="110">
        <v>16</v>
      </c>
      <c r="J20" s="192"/>
      <c r="K20" s="192"/>
      <c r="L20" s="192"/>
      <c r="M20" s="192"/>
      <c r="N20" s="28">
        <v>4</v>
      </c>
      <c r="O20" s="109">
        <f t="shared" si="2"/>
        <v>9</v>
      </c>
      <c r="P20" s="110">
        <v>16</v>
      </c>
      <c r="Q20" s="192"/>
      <c r="R20" s="192"/>
      <c r="S20" s="192"/>
      <c r="T20" s="192"/>
      <c r="U20" s="28">
        <v>5</v>
      </c>
      <c r="V20" s="109">
        <f t="shared" si="3"/>
        <v>3</v>
      </c>
      <c r="W20" s="111">
        <f t="shared" si="0"/>
        <v>6</v>
      </c>
      <c r="X20" s="33"/>
      <c r="Y20" s="164">
        <v>8213</v>
      </c>
      <c r="Z20" s="193" t="s">
        <v>136</v>
      </c>
      <c r="AA20" s="193"/>
      <c r="AB20" s="193"/>
      <c r="AC20" s="193"/>
      <c r="AD20" s="193"/>
      <c r="AE20" s="193"/>
      <c r="AF20" s="193"/>
    </row>
    <row r="21" spans="2:33" s="27" customFormat="1" ht="13.9" x14ac:dyDescent="0.25">
      <c r="B21" s="108">
        <v>22.5</v>
      </c>
      <c r="C21" s="192"/>
      <c r="D21" s="192"/>
      <c r="E21" s="192"/>
      <c r="F21" s="192"/>
      <c r="G21" s="28">
        <v>13</v>
      </c>
      <c r="H21" s="109">
        <f t="shared" si="1"/>
        <v>9</v>
      </c>
      <c r="I21" s="110">
        <v>22.5</v>
      </c>
      <c r="J21" s="192"/>
      <c r="K21" s="192"/>
      <c r="L21" s="192"/>
      <c r="M21" s="192"/>
      <c r="N21" s="28">
        <v>5</v>
      </c>
      <c r="O21" s="109">
        <f t="shared" si="2"/>
        <v>13</v>
      </c>
      <c r="P21" s="110">
        <v>22.5</v>
      </c>
      <c r="Q21" s="192"/>
      <c r="R21" s="192"/>
      <c r="S21" s="192"/>
      <c r="T21" s="192"/>
      <c r="U21" s="28">
        <v>19</v>
      </c>
      <c r="V21" s="109">
        <f t="shared" si="3"/>
        <v>8</v>
      </c>
      <c r="W21" s="111">
        <f t="shared" si="0"/>
        <v>10</v>
      </c>
      <c r="X21" s="33"/>
      <c r="Y21" s="26">
        <v>8214</v>
      </c>
      <c r="Z21" s="193" t="s">
        <v>137</v>
      </c>
      <c r="AA21" s="193"/>
      <c r="AB21" s="193"/>
      <c r="AC21" s="193"/>
      <c r="AD21" s="193"/>
      <c r="AE21" s="193"/>
      <c r="AF21" s="193"/>
    </row>
    <row r="22" spans="2:33" s="27" customFormat="1" ht="13.9" x14ac:dyDescent="0.25">
      <c r="B22" s="108">
        <v>32</v>
      </c>
      <c r="C22" s="192"/>
      <c r="D22" s="192"/>
      <c r="E22" s="192"/>
      <c r="F22" s="192"/>
      <c r="G22" s="28">
        <v>10</v>
      </c>
      <c r="H22" s="109">
        <f t="shared" si="1"/>
        <v>22</v>
      </c>
      <c r="I22" s="110">
        <v>32</v>
      </c>
      <c r="J22" s="192"/>
      <c r="K22" s="192"/>
      <c r="L22" s="192"/>
      <c r="M22" s="192"/>
      <c r="N22" s="28">
        <v>13</v>
      </c>
      <c r="O22" s="109">
        <f t="shared" si="2"/>
        <v>18</v>
      </c>
      <c r="P22" s="110">
        <v>32</v>
      </c>
      <c r="Q22" s="192"/>
      <c r="R22" s="192"/>
      <c r="S22" s="192"/>
      <c r="T22" s="192"/>
      <c r="U22" s="28">
        <v>13</v>
      </c>
      <c r="V22" s="109">
        <f t="shared" si="3"/>
        <v>27</v>
      </c>
      <c r="W22" s="111">
        <f t="shared" si="0"/>
        <v>22.333333333333332</v>
      </c>
      <c r="X22" s="33"/>
      <c r="Y22" s="26">
        <v>8215</v>
      </c>
      <c r="Z22" s="193" t="s">
        <v>138</v>
      </c>
      <c r="AA22" s="193"/>
      <c r="AB22" s="193"/>
      <c r="AC22" s="193"/>
      <c r="AD22" s="193"/>
      <c r="AE22" s="193"/>
      <c r="AF22" s="193"/>
    </row>
    <row r="23" spans="2:33" s="27" customFormat="1" ht="13.9" x14ac:dyDescent="0.25">
      <c r="B23" s="108">
        <v>45</v>
      </c>
      <c r="C23" s="192"/>
      <c r="D23" s="192"/>
      <c r="E23" s="192"/>
      <c r="F23" s="192"/>
      <c r="G23" s="28">
        <v>12</v>
      </c>
      <c r="H23" s="109">
        <f t="shared" si="1"/>
        <v>32</v>
      </c>
      <c r="I23" s="110">
        <v>45</v>
      </c>
      <c r="J23" s="192"/>
      <c r="K23" s="192"/>
      <c r="L23" s="192"/>
      <c r="M23" s="192"/>
      <c r="N23" s="28">
        <v>14</v>
      </c>
      <c r="O23" s="109">
        <f t="shared" si="2"/>
        <v>31</v>
      </c>
      <c r="P23" s="110">
        <v>45</v>
      </c>
      <c r="Q23" s="192"/>
      <c r="R23" s="192"/>
      <c r="S23" s="192"/>
      <c r="T23" s="192"/>
      <c r="U23" s="28">
        <v>16</v>
      </c>
      <c r="V23" s="109">
        <f t="shared" si="3"/>
        <v>40</v>
      </c>
      <c r="W23" s="111">
        <f t="shared" si="0"/>
        <v>34.333333333333336</v>
      </c>
      <c r="X23" s="33"/>
      <c r="Y23" s="26">
        <v>8216</v>
      </c>
      <c r="Z23" s="193" t="s">
        <v>139</v>
      </c>
      <c r="AA23" s="193"/>
      <c r="AB23" s="193"/>
      <c r="AC23" s="193"/>
      <c r="AD23" s="193"/>
      <c r="AE23" s="193"/>
      <c r="AF23" s="193"/>
    </row>
    <row r="24" spans="2:33" s="27" customFormat="1" ht="13.9" x14ac:dyDescent="0.25">
      <c r="B24" s="114">
        <v>64</v>
      </c>
      <c r="C24" s="192"/>
      <c r="D24" s="192"/>
      <c r="E24" s="192"/>
      <c r="F24" s="192"/>
      <c r="G24" s="28">
        <v>28</v>
      </c>
      <c r="H24" s="109">
        <f t="shared" si="1"/>
        <v>44</v>
      </c>
      <c r="I24" s="115">
        <v>64</v>
      </c>
      <c r="J24" s="192"/>
      <c r="K24" s="192"/>
      <c r="L24" s="192"/>
      <c r="M24" s="192"/>
      <c r="N24" s="28">
        <v>21</v>
      </c>
      <c r="O24" s="109">
        <f t="shared" si="2"/>
        <v>45</v>
      </c>
      <c r="P24" s="115">
        <v>64</v>
      </c>
      <c r="Q24" s="192"/>
      <c r="R24" s="192"/>
      <c r="S24" s="192"/>
      <c r="T24" s="192"/>
      <c r="U24" s="28">
        <v>17</v>
      </c>
      <c r="V24" s="109">
        <f t="shared" si="3"/>
        <v>56</v>
      </c>
      <c r="W24" s="111">
        <f t="shared" si="0"/>
        <v>48.333333333333336</v>
      </c>
      <c r="X24" s="33"/>
      <c r="Y24" s="26">
        <v>8217</v>
      </c>
      <c r="Z24" s="193" t="s">
        <v>140</v>
      </c>
      <c r="AA24" s="193"/>
      <c r="AB24" s="193"/>
      <c r="AC24" s="193"/>
      <c r="AD24" s="193"/>
      <c r="AE24" s="193"/>
      <c r="AF24" s="193"/>
    </row>
    <row r="25" spans="2:33" s="27" customFormat="1" ht="13.9" x14ac:dyDescent="0.25">
      <c r="B25" s="108">
        <v>90</v>
      </c>
      <c r="C25" s="192"/>
      <c r="D25" s="192"/>
      <c r="E25" s="192"/>
      <c r="F25" s="192"/>
      <c r="G25" s="28">
        <v>17</v>
      </c>
      <c r="H25" s="109">
        <f t="shared" si="1"/>
        <v>72</v>
      </c>
      <c r="I25" s="110">
        <v>90</v>
      </c>
      <c r="J25" s="192"/>
      <c r="K25" s="192"/>
      <c r="L25" s="192"/>
      <c r="M25" s="192"/>
      <c r="N25" s="28">
        <v>21</v>
      </c>
      <c r="O25" s="109">
        <f t="shared" si="2"/>
        <v>66</v>
      </c>
      <c r="P25" s="110">
        <v>90</v>
      </c>
      <c r="Q25" s="192"/>
      <c r="R25" s="192"/>
      <c r="S25" s="192"/>
      <c r="T25" s="192"/>
      <c r="U25" s="28">
        <v>18</v>
      </c>
      <c r="V25" s="109">
        <f t="shared" si="3"/>
        <v>73</v>
      </c>
      <c r="W25" s="111">
        <f t="shared" si="0"/>
        <v>70.333333333333329</v>
      </c>
      <c r="X25" s="33"/>
      <c r="Y25" s="26"/>
      <c r="Z25" s="193"/>
      <c r="AA25" s="193"/>
      <c r="AB25" s="193"/>
      <c r="AC25" s="193"/>
      <c r="AD25" s="193"/>
      <c r="AE25" s="193"/>
      <c r="AF25" s="193"/>
    </row>
    <row r="26" spans="2:33" s="27" customFormat="1" ht="13.9" x14ac:dyDescent="0.25">
      <c r="B26" s="112">
        <v>128</v>
      </c>
      <c r="C26" s="192"/>
      <c r="D26" s="192"/>
      <c r="E26" s="192"/>
      <c r="F26" s="192"/>
      <c r="G26" s="28">
        <v>10</v>
      </c>
      <c r="H26" s="109">
        <f t="shared" si="1"/>
        <v>89</v>
      </c>
      <c r="I26" s="113">
        <v>128</v>
      </c>
      <c r="J26" s="192"/>
      <c r="K26" s="192"/>
      <c r="L26" s="192"/>
      <c r="M26" s="192"/>
      <c r="N26" s="28">
        <v>11</v>
      </c>
      <c r="O26" s="109">
        <f t="shared" si="2"/>
        <v>87</v>
      </c>
      <c r="P26" s="113">
        <v>128</v>
      </c>
      <c r="Q26" s="192"/>
      <c r="R26" s="192"/>
      <c r="S26" s="192"/>
      <c r="T26" s="192"/>
      <c r="U26" s="28">
        <v>9</v>
      </c>
      <c r="V26" s="109">
        <f t="shared" si="3"/>
        <v>91</v>
      </c>
      <c r="W26" s="111">
        <f t="shared" si="0"/>
        <v>89</v>
      </c>
      <c r="X26" s="33"/>
      <c r="Y26" s="26"/>
      <c r="Z26" s="193"/>
      <c r="AA26" s="193"/>
      <c r="AB26" s="193"/>
      <c r="AC26" s="193"/>
      <c r="AD26" s="193"/>
      <c r="AE26" s="193"/>
      <c r="AF26" s="193"/>
    </row>
    <row r="27" spans="2:33" s="27" customFormat="1" ht="13.9" x14ac:dyDescent="0.25">
      <c r="B27" s="112">
        <v>180</v>
      </c>
      <c r="C27" s="192"/>
      <c r="D27" s="192"/>
      <c r="E27" s="192"/>
      <c r="F27" s="192"/>
      <c r="G27" s="28">
        <v>1</v>
      </c>
      <c r="H27" s="109">
        <f t="shared" si="1"/>
        <v>99</v>
      </c>
      <c r="I27" s="113">
        <v>180</v>
      </c>
      <c r="J27" s="192"/>
      <c r="K27" s="192"/>
      <c r="L27" s="192"/>
      <c r="M27" s="192"/>
      <c r="N27" s="28">
        <v>1</v>
      </c>
      <c r="O27" s="109">
        <f t="shared" si="2"/>
        <v>98</v>
      </c>
      <c r="P27" s="113">
        <v>180</v>
      </c>
      <c r="Q27" s="192"/>
      <c r="R27" s="192"/>
      <c r="S27" s="192"/>
      <c r="T27" s="192"/>
      <c r="U27" s="28"/>
      <c r="V27" s="109">
        <f t="shared" si="3"/>
        <v>100</v>
      </c>
      <c r="W27" s="111">
        <f>AVERAGE(H27,V27,O27)</f>
        <v>99</v>
      </c>
      <c r="X27" s="33"/>
      <c r="Y27" s="26"/>
      <c r="Z27" s="193"/>
      <c r="AA27" s="193"/>
      <c r="AB27" s="193"/>
      <c r="AC27" s="193"/>
      <c r="AD27" s="193"/>
      <c r="AE27" s="193"/>
      <c r="AF27" s="193"/>
    </row>
    <row r="28" spans="2:33" s="27" customFormat="1" ht="13.9" x14ac:dyDescent="0.25">
      <c r="B28" s="112">
        <v>256</v>
      </c>
      <c r="C28" s="192"/>
      <c r="D28" s="192"/>
      <c r="E28" s="192"/>
      <c r="F28" s="192"/>
      <c r="G28" s="28"/>
      <c r="H28" s="109">
        <f t="shared" si="1"/>
        <v>100</v>
      </c>
      <c r="I28" s="113">
        <v>256</v>
      </c>
      <c r="J28" s="192"/>
      <c r="K28" s="192"/>
      <c r="L28" s="192"/>
      <c r="M28" s="192"/>
      <c r="N28" s="28">
        <v>1</v>
      </c>
      <c r="O28" s="109">
        <f t="shared" si="2"/>
        <v>99</v>
      </c>
      <c r="P28" s="113">
        <v>256</v>
      </c>
      <c r="Q28" s="192"/>
      <c r="R28" s="192"/>
      <c r="S28" s="192"/>
      <c r="T28" s="192"/>
      <c r="U28" s="28"/>
      <c r="V28" s="109">
        <f t="shared" si="3"/>
        <v>100</v>
      </c>
      <c r="W28" s="111">
        <f>AVERAGE(H28,V28,O28)</f>
        <v>99.666666666666671</v>
      </c>
      <c r="X28" s="33"/>
      <c r="Y28" s="26"/>
      <c r="Z28" s="193"/>
      <c r="AA28" s="193"/>
      <c r="AB28" s="193"/>
      <c r="AC28" s="193"/>
      <c r="AD28" s="193"/>
      <c r="AE28" s="193"/>
      <c r="AF28" s="193"/>
    </row>
    <row r="29" spans="2:33" s="27" customFormat="1" ht="17.45" x14ac:dyDescent="0.3">
      <c r="B29" s="112">
        <v>360</v>
      </c>
      <c r="C29" s="192"/>
      <c r="D29" s="192"/>
      <c r="E29" s="192"/>
      <c r="F29" s="192"/>
      <c r="G29" s="28"/>
      <c r="H29" s="109">
        <f t="shared" si="1"/>
        <v>100</v>
      </c>
      <c r="I29" s="113">
        <v>360</v>
      </c>
      <c r="J29" s="192"/>
      <c r="K29" s="192"/>
      <c r="L29" s="192"/>
      <c r="M29" s="192"/>
      <c r="N29" s="28"/>
      <c r="O29" s="109">
        <f t="shared" si="2"/>
        <v>100</v>
      </c>
      <c r="P29" s="113">
        <v>360</v>
      </c>
      <c r="Q29" s="192"/>
      <c r="R29" s="192"/>
      <c r="S29" s="192"/>
      <c r="T29" s="192"/>
      <c r="U29" s="28"/>
      <c r="V29" s="109">
        <f t="shared" si="3"/>
        <v>100</v>
      </c>
      <c r="W29" s="111">
        <f>AVERAGE(V29,O29,H29)</f>
        <v>100</v>
      </c>
      <c r="X29" s="33"/>
      <c r="Y29" s="26"/>
      <c r="Z29" s="193"/>
      <c r="AA29" s="193"/>
      <c r="AB29" s="193"/>
      <c r="AC29" s="193"/>
      <c r="AD29" s="193"/>
      <c r="AE29" s="193"/>
      <c r="AF29" s="193"/>
      <c r="AG29" s="34"/>
    </row>
    <row r="30" spans="2:33" s="27" customFormat="1" ht="17.45" x14ac:dyDescent="0.3">
      <c r="B30" s="154">
        <v>512</v>
      </c>
      <c r="C30" s="181"/>
      <c r="D30" s="182"/>
      <c r="E30" s="182"/>
      <c r="F30" s="183"/>
      <c r="G30" s="155"/>
      <c r="H30" s="156">
        <f t="shared" si="1"/>
        <v>100</v>
      </c>
      <c r="I30" s="157">
        <v>512</v>
      </c>
      <c r="J30" s="181"/>
      <c r="K30" s="182"/>
      <c r="L30" s="182"/>
      <c r="M30" s="183"/>
      <c r="N30" s="155"/>
      <c r="O30" s="156">
        <f t="shared" si="2"/>
        <v>100</v>
      </c>
      <c r="P30" s="157">
        <v>512</v>
      </c>
      <c r="Q30" s="197"/>
      <c r="R30" s="197"/>
      <c r="S30" s="197"/>
      <c r="T30" s="197"/>
      <c r="U30" s="155"/>
      <c r="V30" s="156">
        <f t="shared" si="3"/>
        <v>100</v>
      </c>
      <c r="W30" s="158">
        <f>AVERAGE(V30,O30,H30)</f>
        <v>100</v>
      </c>
      <c r="X30" s="33"/>
      <c r="Y30" s="26"/>
      <c r="Z30" s="185"/>
      <c r="AA30" s="186"/>
      <c r="AB30" s="186"/>
      <c r="AC30" s="186"/>
      <c r="AD30" s="186"/>
      <c r="AE30" s="186"/>
      <c r="AF30" s="187"/>
      <c r="AG30" s="34"/>
    </row>
    <row r="31" spans="2:33" s="27" customFormat="1" ht="18" thickBot="1" x14ac:dyDescent="0.35">
      <c r="B31" s="116">
        <v>720</v>
      </c>
      <c r="C31" s="161"/>
      <c r="D31" s="162"/>
      <c r="E31" s="162"/>
      <c r="F31" s="163"/>
      <c r="G31" s="159"/>
      <c r="H31" s="160">
        <f t="shared" si="1"/>
        <v>100</v>
      </c>
      <c r="I31" s="117">
        <v>720</v>
      </c>
      <c r="J31" s="194"/>
      <c r="K31" s="195"/>
      <c r="L31" s="195"/>
      <c r="M31" s="196"/>
      <c r="N31" s="159"/>
      <c r="O31" s="160">
        <f t="shared" si="2"/>
        <v>100</v>
      </c>
      <c r="P31" s="117">
        <v>720</v>
      </c>
      <c r="Q31" s="194"/>
      <c r="R31" s="195"/>
      <c r="S31" s="195"/>
      <c r="T31" s="195"/>
      <c r="U31" s="196"/>
      <c r="V31" s="160">
        <f t="shared" si="3"/>
        <v>100</v>
      </c>
      <c r="W31" s="118">
        <f>AVERAGE(V31,O31,H31)</f>
        <v>100</v>
      </c>
      <c r="X31" s="33"/>
      <c r="Y31" s="26"/>
      <c r="Z31" s="139"/>
      <c r="AA31" s="140"/>
      <c r="AB31" s="140"/>
      <c r="AC31" s="140"/>
      <c r="AD31" s="140"/>
      <c r="AE31" s="140"/>
      <c r="AF31" s="141"/>
      <c r="AG31" s="34"/>
    </row>
    <row r="32" spans="2:33" s="27" customFormat="1" ht="13.9" x14ac:dyDescent="0.25">
      <c r="H32" s="35"/>
      <c r="Y32" s="26"/>
      <c r="Z32" s="185"/>
      <c r="AA32" s="186"/>
      <c r="AB32" s="186"/>
      <c r="AC32" s="186"/>
      <c r="AD32" s="186"/>
      <c r="AE32" s="186"/>
      <c r="AF32" s="187"/>
    </row>
    <row r="33" spans="2:34" s="27" customFormat="1" ht="14.45" thickBot="1" x14ac:dyDescent="0.3">
      <c r="C33" s="184" t="s">
        <v>20</v>
      </c>
      <c r="D33" s="184"/>
      <c r="E33" s="184"/>
      <c r="F33" s="184"/>
      <c r="G33" s="184"/>
      <c r="H33" s="184"/>
      <c r="I33" s="36"/>
      <c r="J33" s="184" t="s">
        <v>21</v>
      </c>
      <c r="K33" s="184"/>
      <c r="L33" s="184"/>
      <c r="M33" s="184"/>
      <c r="N33" s="184"/>
      <c r="O33" s="184"/>
      <c r="P33" s="36"/>
      <c r="Q33" s="184" t="s">
        <v>22</v>
      </c>
      <c r="R33" s="184"/>
      <c r="S33" s="184"/>
      <c r="T33" s="184"/>
      <c r="U33" s="184"/>
      <c r="V33" s="184"/>
      <c r="Y33" s="26"/>
      <c r="Z33" s="185"/>
      <c r="AA33" s="186"/>
      <c r="AB33" s="186"/>
      <c r="AC33" s="186"/>
      <c r="AD33" s="186"/>
      <c r="AE33" s="186"/>
      <c r="AF33" s="187"/>
    </row>
    <row r="34" spans="2:34" s="27" customFormat="1" ht="13.9" x14ac:dyDescent="0.25">
      <c r="C34" s="37"/>
      <c r="D34" s="38"/>
      <c r="E34" s="38"/>
      <c r="F34" s="38"/>
      <c r="G34" s="190"/>
      <c r="H34" s="191"/>
      <c r="I34" s="30"/>
      <c r="J34" s="37"/>
      <c r="K34" s="38"/>
      <c r="L34" s="38"/>
      <c r="M34" s="38"/>
      <c r="N34" s="190"/>
      <c r="O34" s="191"/>
      <c r="Q34" s="37"/>
      <c r="R34" s="38"/>
      <c r="S34" s="38"/>
      <c r="T34" s="38"/>
      <c r="U34" s="190"/>
      <c r="V34" s="191"/>
      <c r="Y34" s="26"/>
      <c r="Z34" s="185"/>
      <c r="AA34" s="186"/>
      <c r="AB34" s="186"/>
      <c r="AC34" s="186"/>
      <c r="AD34" s="186"/>
      <c r="AE34" s="186"/>
      <c r="AF34" s="187"/>
    </row>
    <row r="35" spans="2:34" s="27" customFormat="1" ht="13.9" x14ac:dyDescent="0.25">
      <c r="C35" s="39"/>
      <c r="D35" s="40"/>
      <c r="E35" s="40"/>
      <c r="F35" s="40"/>
      <c r="G35" s="188"/>
      <c r="H35" s="189"/>
      <c r="I35" s="30"/>
      <c r="J35" s="39"/>
      <c r="K35" s="40"/>
      <c r="L35" s="40"/>
      <c r="M35" s="40"/>
      <c r="N35" s="188"/>
      <c r="O35" s="189"/>
      <c r="Q35" s="39"/>
      <c r="R35" s="40"/>
      <c r="S35" s="40"/>
      <c r="T35" s="40"/>
      <c r="U35" s="188"/>
      <c r="V35" s="189"/>
      <c r="Y35" s="56"/>
      <c r="Z35" s="185"/>
      <c r="AA35" s="186"/>
      <c r="AB35" s="186"/>
      <c r="AC35" s="186"/>
      <c r="AD35" s="186"/>
      <c r="AE35" s="186"/>
      <c r="AF35" s="187"/>
    </row>
    <row r="36" spans="2:34" s="27" customFormat="1" ht="13.9" x14ac:dyDescent="0.25">
      <c r="C36" s="39"/>
      <c r="D36" s="40"/>
      <c r="E36" s="40"/>
      <c r="F36" s="40"/>
      <c r="G36" s="188"/>
      <c r="H36" s="189"/>
      <c r="I36" s="30"/>
      <c r="J36" s="39"/>
      <c r="K36" s="40"/>
      <c r="L36" s="40"/>
      <c r="M36" s="40"/>
      <c r="N36" s="188"/>
      <c r="O36" s="189"/>
      <c r="Q36" s="39"/>
      <c r="R36" s="40"/>
      <c r="S36" s="40"/>
      <c r="T36" s="40"/>
      <c r="U36" s="188"/>
      <c r="V36" s="189"/>
      <c r="Y36" s="26"/>
      <c r="Z36" s="185"/>
      <c r="AA36" s="186"/>
      <c r="AB36" s="186"/>
      <c r="AC36" s="186"/>
      <c r="AD36" s="186"/>
      <c r="AE36" s="186"/>
      <c r="AF36" s="187"/>
    </row>
    <row r="37" spans="2:34" s="27" customFormat="1" ht="14.45" thickBot="1" x14ac:dyDescent="0.3">
      <c r="C37" s="43"/>
      <c r="D37" s="44"/>
      <c r="E37" s="44"/>
      <c r="F37" s="44"/>
      <c r="G37" s="178"/>
      <c r="H37" s="179"/>
      <c r="I37" s="30"/>
      <c r="J37" s="43"/>
      <c r="K37" s="44"/>
      <c r="L37" s="44"/>
      <c r="M37" s="44"/>
      <c r="N37" s="45"/>
      <c r="O37" s="46"/>
      <c r="Q37" s="43"/>
      <c r="R37" s="44"/>
      <c r="S37" s="44"/>
      <c r="T37" s="44"/>
      <c r="U37" s="178"/>
      <c r="V37" s="179"/>
      <c r="Z37" s="42"/>
      <c r="AA37" s="180"/>
      <c r="AB37" s="180"/>
      <c r="AC37" s="180"/>
      <c r="AD37" s="36"/>
      <c r="AF37" s="17"/>
    </row>
    <row r="38" spans="2:34" s="27" customFormat="1" ht="13.9" x14ac:dyDescent="0.25">
      <c r="B38" s="1" t="s">
        <v>69</v>
      </c>
      <c r="C38" s="129" t="s">
        <v>119</v>
      </c>
      <c r="G38" s="1"/>
      <c r="H38" s="35"/>
      <c r="K38" s="199" t="s">
        <v>105</v>
      </c>
      <c r="L38" s="199"/>
      <c r="M38" s="130">
        <v>602</v>
      </c>
      <c r="N38" s="1"/>
      <c r="R38" s="41"/>
      <c r="S38" s="132" t="s">
        <v>71</v>
      </c>
      <c r="T38" s="131">
        <v>1</v>
      </c>
      <c r="U38" s="27" t="s">
        <v>106</v>
      </c>
      <c r="V38" s="131">
        <v>2</v>
      </c>
      <c r="Y38" s="1" t="s">
        <v>69</v>
      </c>
      <c r="Z38" s="6" t="s">
        <v>141</v>
      </c>
      <c r="AA38" s="1"/>
      <c r="AB38" s="132" t="s">
        <v>105</v>
      </c>
      <c r="AC38" s="6">
        <v>603</v>
      </c>
      <c r="AE38" s="1" t="s">
        <v>71</v>
      </c>
      <c r="AF38" s="121">
        <v>2</v>
      </c>
      <c r="AG38" s="128" t="s">
        <v>106</v>
      </c>
      <c r="AH38" s="133">
        <v>2</v>
      </c>
    </row>
    <row r="39" spans="2:34" s="27" customFormat="1" ht="13.9" x14ac:dyDescent="0.25">
      <c r="G39" s="30"/>
      <c r="H39" s="47"/>
      <c r="I39" s="30"/>
      <c r="J39" s="30"/>
      <c r="K39" s="30"/>
      <c r="L39" s="30"/>
      <c r="M39" s="30"/>
      <c r="N39" s="31"/>
      <c r="O39" s="32"/>
      <c r="P39" s="32"/>
      <c r="Q39" s="32"/>
      <c r="R39" s="32"/>
      <c r="S39" s="32"/>
      <c r="T39" s="32"/>
      <c r="AA39" s="36"/>
      <c r="AB39" s="48"/>
      <c r="AC39" s="36"/>
      <c r="AE39" s="32"/>
      <c r="AF39" s="32"/>
    </row>
    <row r="40" spans="2:34" s="27" customFormat="1" ht="13.9" x14ac:dyDescent="0.25">
      <c r="H40" s="35"/>
      <c r="Z40" s="32"/>
      <c r="AA40" s="30"/>
      <c r="AB40" s="30"/>
      <c r="AC40" s="31"/>
      <c r="AD40" s="32"/>
      <c r="AE40" s="32"/>
      <c r="AF40" s="32"/>
    </row>
    <row r="41" spans="2:34" s="27" customFormat="1" ht="13.9" x14ac:dyDescent="0.25">
      <c r="E41" s="95"/>
      <c r="F41" s="95"/>
      <c r="G41" s="95"/>
      <c r="H41" s="96"/>
      <c r="I41" s="95"/>
      <c r="J41" s="95"/>
      <c r="K41" s="95"/>
      <c r="L41" s="95"/>
      <c r="M41" s="95"/>
      <c r="N41" s="95"/>
      <c r="O41" s="95"/>
      <c r="P41" s="95"/>
      <c r="Q41" s="95"/>
      <c r="R41" s="95"/>
      <c r="S41" s="95"/>
      <c r="T41" s="95"/>
      <c r="U41" s="95"/>
      <c r="V41" s="95"/>
      <c r="W41" s="95" t="s">
        <v>77</v>
      </c>
      <c r="X41" s="95"/>
      <c r="Z41" s="30"/>
      <c r="AA41" s="30"/>
      <c r="AB41" s="30"/>
      <c r="AC41" s="31"/>
      <c r="AD41" s="32"/>
      <c r="AF41" s="32"/>
    </row>
    <row r="42" spans="2:34" s="27" customFormat="1" ht="14.45" x14ac:dyDescent="0.3">
      <c r="E42" s="92" t="s">
        <v>72</v>
      </c>
      <c r="F42" s="92" t="s">
        <v>10</v>
      </c>
      <c r="G42" s="95"/>
      <c r="H42" s="95"/>
      <c r="I42" s="95"/>
      <c r="J42" s="95"/>
      <c r="K42" s="95"/>
      <c r="L42" s="92" t="s">
        <v>72</v>
      </c>
      <c r="M42" s="92" t="s">
        <v>10</v>
      </c>
      <c r="N42" s="95"/>
      <c r="O42" s="95"/>
      <c r="P42" s="95"/>
      <c r="Q42" s="95"/>
      <c r="R42" s="95"/>
      <c r="S42" s="92" t="s">
        <v>72</v>
      </c>
      <c r="T42" s="92" t="s">
        <v>10</v>
      </c>
      <c r="U42" s="95"/>
      <c r="V42" s="95"/>
      <c r="W42" s="92" t="s">
        <v>10</v>
      </c>
      <c r="X42" s="99"/>
      <c r="Z42" s="30"/>
      <c r="AA42" s="30"/>
      <c r="AB42" s="30"/>
      <c r="AC42" s="31"/>
      <c r="AD42" s="32"/>
      <c r="AF42" s="32"/>
    </row>
    <row r="43" spans="2:34" s="27" customFormat="1" ht="14.45" x14ac:dyDescent="0.3">
      <c r="E43" s="92">
        <v>16</v>
      </c>
      <c r="F43" s="93">
        <f ca="1">10^(FORECAST(E43,LOG(OFFSET(B$14:B$29,MATCH(E43,H$14:H$29,1)-1,0,2)),OFFSET(H$14:H$29,MATCH(E43,H$14:H$29,1)-1,0,2)))</f>
        <v>27.19879176503834</v>
      </c>
      <c r="G43" s="95"/>
      <c r="H43" s="95"/>
      <c r="I43" s="95"/>
      <c r="J43" s="95"/>
      <c r="K43" s="95"/>
      <c r="L43" s="92">
        <v>16</v>
      </c>
      <c r="M43" s="93">
        <f ca="1">10^(FORECAST(L43,LOG(OFFSET(I$14:I$29,MATCH(L43,O$14:O$29,1)-1,0,2)),OFFSET(O$14:O$29,MATCH(L43,O$14:O$29,1)-1,0,2)))</f>
        <v>27.794764214863083</v>
      </c>
      <c r="N43" s="95"/>
      <c r="O43" s="95"/>
      <c r="P43" s="95"/>
      <c r="Q43" s="95"/>
      <c r="R43" s="95"/>
      <c r="S43" s="92">
        <v>16</v>
      </c>
      <c r="T43" s="93">
        <f ca="1">10^(FORECAST(S43,LOG(OFFSET(P$14:P$29,MATCH(S43,V$14:V$29,1)-1,0,2)),OFFSET(V$14:V$29,MATCH(S43,V$14:V$29,1)-1,0,2)))</f>
        <v>26.096956988107184</v>
      </c>
      <c r="U43" s="95"/>
      <c r="V43" s="97"/>
      <c r="W43" s="93">
        <f ca="1">10^(FORECAST(S43,LOG(OFFSET(P$14:P$29,MATCH(S43,W$14:W$29,1)-1,0,2)),OFFSET(W$14:W$29,MATCH(S43,W$14:W$29,1)-1,0,2)))</f>
        <v>26.705402032436812</v>
      </c>
      <c r="X43" s="93"/>
    </row>
    <row r="44" spans="2:34" s="27" customFormat="1" ht="14.45" x14ac:dyDescent="0.3">
      <c r="E44" s="92">
        <v>50</v>
      </c>
      <c r="F44" s="93">
        <f t="shared" ref="F44:F46" ca="1" si="4">10^(FORECAST(E44,LOG(OFFSET(B$14:B$29,MATCH(E44,H$14:H$29,1)-1,0,2)),OFFSET(H$14:H$29,MATCH(E44,H$14:H$29,1)-1,0,2)))</f>
        <v>68.850589041327268</v>
      </c>
      <c r="G44" s="95"/>
      <c r="H44" s="95"/>
      <c r="I44" s="95"/>
      <c r="J44" s="95"/>
      <c r="K44" s="95"/>
      <c r="L44" s="92">
        <v>50</v>
      </c>
      <c r="M44" s="93">
        <f t="shared" ref="M44:M46" ca="1" si="5">10^(FORECAST(L44,LOG(OFFSET(I$14:I$29,MATCH(L44,O$14:O$29,1)-1,0,2)),OFFSET(O$14:O$29,MATCH(L44,O$14:O$29,1)-1,0,2)))</f>
        <v>69.411744358099881</v>
      </c>
      <c r="N44" s="95"/>
      <c r="O44" s="95"/>
      <c r="P44" s="95"/>
      <c r="Q44" s="95"/>
      <c r="R44" s="95"/>
      <c r="S44" s="92">
        <v>50</v>
      </c>
      <c r="T44" s="93">
        <f t="shared" ref="T44:T46" ca="1" si="6">10^(FORECAST(S44,LOG(OFFSET(P$14:P$29,MATCH(S44,V$14:V$29,1)-1,0,2)),OFFSET(V$14:V$29,MATCH(S44,V$14:V$29,1)-1,0,2)))</f>
        <v>56.081184312038609</v>
      </c>
      <c r="U44" s="95"/>
      <c r="V44" s="97"/>
      <c r="W44" s="93">
        <f t="shared" ref="W44:W46" ca="1" si="7">10^(FORECAST(S44,LOG(OFFSET(P$14:P$29,MATCH(S44,W$14:W$29,1)-1,0,2)),OFFSET(W$14:W$29,MATCH(S44,W$14:W$29,1)-1,0,2)))</f>
        <v>65.674508721856341</v>
      </c>
      <c r="X44" s="93"/>
    </row>
    <row r="45" spans="2:34" s="27" customFormat="1" ht="14.45" x14ac:dyDescent="0.3">
      <c r="E45" s="92">
        <v>84</v>
      </c>
      <c r="F45" s="93">
        <f t="shared" ca="1" si="4"/>
        <v>115.40364873027464</v>
      </c>
      <c r="G45" s="95"/>
      <c r="H45" s="95"/>
      <c r="I45" s="95"/>
      <c r="J45" s="95"/>
      <c r="K45" s="95"/>
      <c r="L45" s="92">
        <v>84</v>
      </c>
      <c r="M45" s="93">
        <f t="shared" ca="1" si="5"/>
        <v>121.71874765799417</v>
      </c>
      <c r="N45" s="95"/>
      <c r="O45" s="95"/>
      <c r="P45" s="95"/>
      <c r="Q45" s="95"/>
      <c r="R45" s="95"/>
      <c r="S45" s="92">
        <v>84</v>
      </c>
      <c r="T45" s="93">
        <f t="shared" ca="1" si="6"/>
        <v>111.61501552760485</v>
      </c>
      <c r="U45" s="95"/>
      <c r="V45" s="97"/>
      <c r="W45" s="93">
        <f t="shared" ca="1" si="7"/>
        <v>116.47602549263267</v>
      </c>
      <c r="X45" s="93"/>
    </row>
    <row r="46" spans="2:34" s="27" customFormat="1" ht="15" x14ac:dyDescent="0.25">
      <c r="E46" s="92">
        <v>90</v>
      </c>
      <c r="F46" s="93">
        <f t="shared" ca="1" si="4"/>
        <v>132.43910072719294</v>
      </c>
      <c r="G46" s="95"/>
      <c r="H46" s="95"/>
      <c r="I46" s="95"/>
      <c r="J46" s="95"/>
      <c r="K46" s="95"/>
      <c r="L46" s="92">
        <v>90</v>
      </c>
      <c r="M46" s="93">
        <f t="shared" ca="1" si="5"/>
        <v>140.47228958716076</v>
      </c>
      <c r="N46" s="95"/>
      <c r="O46" s="95"/>
      <c r="P46" s="95"/>
      <c r="Q46" s="95"/>
      <c r="R46" s="95"/>
      <c r="S46" s="92">
        <v>90</v>
      </c>
      <c r="T46" s="93">
        <f t="shared" ca="1" si="6"/>
        <v>125.51966671219169</v>
      </c>
      <c r="U46" s="95"/>
      <c r="V46" s="97"/>
      <c r="W46" s="93">
        <f t="shared" ca="1" si="7"/>
        <v>132.43910072719294</v>
      </c>
      <c r="X46" s="93"/>
    </row>
    <row r="47" spans="2:34" s="27" customFormat="1" ht="15" x14ac:dyDescent="0.25">
      <c r="E47" s="94"/>
      <c r="F47" s="94"/>
      <c r="G47" s="95"/>
      <c r="H47" s="95"/>
      <c r="I47" s="95"/>
      <c r="J47" s="95"/>
      <c r="K47" s="95"/>
      <c r="L47" s="94"/>
      <c r="M47" s="94"/>
      <c r="N47" s="95"/>
      <c r="O47" s="95"/>
      <c r="P47" s="95"/>
      <c r="Q47" s="95"/>
      <c r="R47" s="95"/>
      <c r="S47" s="94"/>
      <c r="T47" s="94"/>
      <c r="U47" s="95"/>
      <c r="V47" s="95"/>
      <c r="W47" s="94"/>
      <c r="X47" s="94"/>
    </row>
    <row r="48" spans="2:34" s="27" customFormat="1" ht="15" x14ac:dyDescent="0.25">
      <c r="E48" s="92" t="s">
        <v>73</v>
      </c>
      <c r="F48" s="93">
        <f ca="1">0.5*(F45/F44+F44/F43)</f>
        <v>2.1037651181340404</v>
      </c>
      <c r="G48" s="95"/>
      <c r="H48" s="95"/>
      <c r="I48" s="95"/>
      <c r="J48" s="95"/>
      <c r="K48" s="95"/>
      <c r="L48" s="92" t="s">
        <v>73</v>
      </c>
      <c r="M48" s="93">
        <f ca="1">0.5*(M45/M44+M44/M43)</f>
        <v>2.1254356817300208</v>
      </c>
      <c r="N48" s="95"/>
      <c r="O48" s="95"/>
      <c r="P48" s="95"/>
      <c r="Q48" s="95"/>
      <c r="R48" s="95"/>
      <c r="S48" s="92" t="s">
        <v>73</v>
      </c>
      <c r="T48" s="93">
        <f ca="1">0.5*(T45/T44+T44/T43)</f>
        <v>2.0695974571679994</v>
      </c>
      <c r="U48" s="95"/>
      <c r="V48" s="95"/>
      <c r="W48" s="93">
        <f ca="1">0.5*(W45/W44+W44/W43)</f>
        <v>2.1163783258109023</v>
      </c>
      <c r="X48" s="93"/>
    </row>
    <row r="49" spans="5:24" s="27" customFormat="1" ht="15" x14ac:dyDescent="0.25">
      <c r="E49" s="94"/>
      <c r="F49" s="93"/>
      <c r="G49" s="95"/>
      <c r="H49" s="95"/>
      <c r="I49" s="95"/>
      <c r="J49" s="95"/>
      <c r="K49" s="95"/>
      <c r="L49" s="94"/>
      <c r="M49" s="93"/>
      <c r="N49" s="95"/>
      <c r="O49" s="95"/>
      <c r="P49" s="95"/>
      <c r="Q49" s="95"/>
      <c r="R49" s="95"/>
      <c r="S49" s="94"/>
      <c r="T49" s="93"/>
      <c r="U49" s="95"/>
      <c r="V49" s="95"/>
      <c r="W49" s="93"/>
      <c r="X49" s="93"/>
    </row>
    <row r="50" spans="5:24" s="27" customFormat="1" ht="15" x14ac:dyDescent="0.25">
      <c r="E50" s="94" t="s">
        <v>75</v>
      </c>
      <c r="F50" s="93">
        <f>H13</f>
        <v>7</v>
      </c>
      <c r="G50" s="95"/>
      <c r="H50" s="95"/>
      <c r="I50" s="95"/>
      <c r="J50" s="95"/>
      <c r="K50" s="95"/>
      <c r="L50" s="94" t="s">
        <v>75</v>
      </c>
      <c r="M50" s="93">
        <f>O13</f>
        <v>4</v>
      </c>
      <c r="N50" s="95"/>
      <c r="O50" s="95"/>
      <c r="P50" s="95"/>
      <c r="Q50" s="95"/>
      <c r="R50" s="95"/>
      <c r="S50" s="94" t="s">
        <v>75</v>
      </c>
      <c r="T50" s="93">
        <f>V13</f>
        <v>1</v>
      </c>
      <c r="U50" s="95"/>
      <c r="V50" s="95"/>
      <c r="W50" s="93">
        <f>AVERAGE(T50,M50,F50)</f>
        <v>4</v>
      </c>
      <c r="X50" s="93"/>
    </row>
    <row r="51" spans="5:24" s="27" customFormat="1" x14ac:dyDescent="0.2">
      <c r="H51" s="35"/>
    </row>
    <row r="52" spans="5:24" s="27" customFormat="1" x14ac:dyDescent="0.2">
      <c r="H52" s="35"/>
    </row>
    <row r="53" spans="5:24" s="27" customFormat="1" x14ac:dyDescent="0.2">
      <c r="H53" s="35"/>
    </row>
    <row r="54" spans="5:24" s="27" customFormat="1" x14ac:dyDescent="0.2">
      <c r="H54" s="35"/>
    </row>
    <row r="55" spans="5:24" s="27" customFormat="1" x14ac:dyDescent="0.2">
      <c r="H55" s="35"/>
    </row>
    <row r="56" spans="5:24" s="27" customFormat="1" x14ac:dyDescent="0.2">
      <c r="H56" s="35"/>
    </row>
    <row r="57" spans="5:24" s="27" customFormat="1" x14ac:dyDescent="0.2">
      <c r="H57" s="35"/>
    </row>
    <row r="58" spans="5:24" s="27" customFormat="1" x14ac:dyDescent="0.2">
      <c r="H58" s="35"/>
    </row>
    <row r="59" spans="5:24" s="27" customFormat="1" x14ac:dyDescent="0.2">
      <c r="H59" s="35"/>
    </row>
    <row r="60" spans="5:24" s="27" customFormat="1" x14ac:dyDescent="0.2">
      <c r="H60" s="35"/>
    </row>
    <row r="61" spans="5:24" s="27" customFormat="1" x14ac:dyDescent="0.2">
      <c r="H61" s="35"/>
    </row>
    <row r="62" spans="5:24" s="27" customFormat="1" x14ac:dyDescent="0.2">
      <c r="H62" s="35"/>
    </row>
    <row r="63" spans="5:24" s="27" customFormat="1" x14ac:dyDescent="0.2">
      <c r="H63" s="35"/>
    </row>
    <row r="64" spans="5:24" s="27" customFormat="1" x14ac:dyDescent="0.2">
      <c r="H64" s="35"/>
    </row>
    <row r="65" spans="8:8" s="27" customFormat="1" x14ac:dyDescent="0.2">
      <c r="H65" s="35"/>
    </row>
    <row r="66" spans="8:8" s="27" customFormat="1" x14ac:dyDescent="0.2">
      <c r="H66" s="35"/>
    </row>
    <row r="67" spans="8:8" s="27" customFormat="1" x14ac:dyDescent="0.2">
      <c r="H67" s="35"/>
    </row>
    <row r="68" spans="8:8" s="27" customFormat="1" x14ac:dyDescent="0.2">
      <c r="H68" s="35"/>
    </row>
    <row r="69" spans="8:8" s="27" customFormat="1" x14ac:dyDescent="0.2">
      <c r="H69" s="35"/>
    </row>
    <row r="70" spans="8:8" s="27" customFormat="1" x14ac:dyDescent="0.2">
      <c r="H70" s="35"/>
    </row>
    <row r="71" spans="8:8" s="27" customFormat="1" x14ac:dyDescent="0.2">
      <c r="H71" s="35"/>
    </row>
    <row r="72" spans="8:8" s="27" customFormat="1" x14ac:dyDescent="0.2">
      <c r="H72" s="35"/>
    </row>
    <row r="73" spans="8:8" s="27" customFormat="1" x14ac:dyDescent="0.2">
      <c r="H73" s="35"/>
    </row>
    <row r="74" spans="8:8" s="27" customFormat="1" x14ac:dyDescent="0.2">
      <c r="H74" s="35"/>
    </row>
    <row r="75" spans="8:8" s="27" customFormat="1" x14ac:dyDescent="0.2">
      <c r="H75" s="35"/>
    </row>
    <row r="76" spans="8:8" s="27" customFormat="1" x14ac:dyDescent="0.2">
      <c r="H76" s="35"/>
    </row>
    <row r="77" spans="8:8" s="27" customFormat="1" x14ac:dyDescent="0.2">
      <c r="H77" s="35"/>
    </row>
    <row r="78" spans="8:8" s="27" customFormat="1" x14ac:dyDescent="0.2">
      <c r="H78" s="35"/>
    </row>
    <row r="79" spans="8:8" s="27" customFormat="1" x14ac:dyDescent="0.2">
      <c r="H79" s="35"/>
    </row>
    <row r="80" spans="8:8" s="27" customFormat="1" x14ac:dyDescent="0.2">
      <c r="H80" s="35"/>
    </row>
    <row r="81" spans="8:8" s="27" customFormat="1" x14ac:dyDescent="0.2">
      <c r="H81" s="35"/>
    </row>
    <row r="82" spans="8:8" s="27" customFormat="1" x14ac:dyDescent="0.2">
      <c r="H82" s="35"/>
    </row>
    <row r="83" spans="8:8" s="27" customFormat="1" x14ac:dyDescent="0.2">
      <c r="H83" s="35"/>
    </row>
    <row r="84" spans="8:8" s="27" customFormat="1" x14ac:dyDescent="0.2">
      <c r="H84" s="35"/>
    </row>
    <row r="85" spans="8:8" s="27" customFormat="1" x14ac:dyDescent="0.2">
      <c r="H85" s="35"/>
    </row>
    <row r="86" spans="8:8" s="27" customFormat="1" x14ac:dyDescent="0.2">
      <c r="H86" s="35"/>
    </row>
    <row r="87" spans="8:8" s="27" customFormat="1" x14ac:dyDescent="0.2">
      <c r="H87" s="35"/>
    </row>
    <row r="88" spans="8:8" s="27" customFormat="1" x14ac:dyDescent="0.2">
      <c r="H88" s="35"/>
    </row>
    <row r="89" spans="8:8" s="27" customFormat="1" x14ac:dyDescent="0.2">
      <c r="H89" s="35"/>
    </row>
    <row r="90" spans="8:8" s="27" customFormat="1" x14ac:dyDescent="0.2">
      <c r="H90" s="35"/>
    </row>
    <row r="91" spans="8:8" s="27" customFormat="1" x14ac:dyDescent="0.2">
      <c r="H91" s="35"/>
    </row>
    <row r="92" spans="8:8" s="27" customFormat="1" x14ac:dyDescent="0.2">
      <c r="H92" s="35"/>
    </row>
    <row r="93" spans="8:8" s="27" customFormat="1" x14ac:dyDescent="0.2">
      <c r="H93" s="35"/>
    </row>
    <row r="94" spans="8:8" s="27" customFormat="1" x14ac:dyDescent="0.2">
      <c r="H94" s="35"/>
    </row>
    <row r="95" spans="8:8" s="27" customFormat="1" x14ac:dyDescent="0.2">
      <c r="H95" s="35"/>
    </row>
    <row r="96" spans="8:8" s="27" customFormat="1" x14ac:dyDescent="0.2">
      <c r="H96" s="35"/>
    </row>
    <row r="97" spans="8:33" s="27" customFormat="1" x14ac:dyDescent="0.2">
      <c r="H97" s="35"/>
    </row>
    <row r="98" spans="8:33" s="27" customFormat="1" x14ac:dyDescent="0.2">
      <c r="H98" s="35"/>
    </row>
    <row r="99" spans="8:33" s="27" customFormat="1" x14ac:dyDescent="0.2">
      <c r="H99" s="35"/>
    </row>
    <row r="100" spans="8:33" s="27" customFormat="1" x14ac:dyDescent="0.2">
      <c r="H100" s="35"/>
    </row>
    <row r="101" spans="8:33" x14ac:dyDescent="0.2">
      <c r="Y101" s="27"/>
      <c r="Z101" s="27"/>
      <c r="AA101" s="27"/>
      <c r="AB101" s="27"/>
      <c r="AC101" s="27"/>
      <c r="AD101" s="27"/>
      <c r="AE101" s="27"/>
      <c r="AF101" s="27"/>
      <c r="AG101" s="27"/>
    </row>
    <row r="102" spans="8:33" x14ac:dyDescent="0.2">
      <c r="Y102" s="27"/>
      <c r="Z102" s="27"/>
      <c r="AA102" s="27"/>
      <c r="AB102" s="27"/>
      <c r="AC102" s="27"/>
      <c r="AD102" s="27"/>
      <c r="AE102" s="27"/>
      <c r="AF102" s="27"/>
      <c r="AG102" s="27"/>
    </row>
  </sheetData>
  <mergeCells count="101">
    <mergeCell ref="K38:L38"/>
    <mergeCell ref="B7:C7"/>
    <mergeCell ref="K5:L5"/>
    <mergeCell ref="B2:V2"/>
    <mergeCell ref="Y2:AF2"/>
    <mergeCell ref="C11:H11"/>
    <mergeCell ref="C12:F12"/>
    <mergeCell ref="J12:M12"/>
    <mergeCell ref="Q12:T12"/>
    <mergeCell ref="B4:C4"/>
    <mergeCell ref="B5:C5"/>
    <mergeCell ref="B6:C6"/>
    <mergeCell ref="C13:F13"/>
    <mergeCell ref="J13:M13"/>
    <mergeCell ref="Q13:T13"/>
    <mergeCell ref="C14:F14"/>
    <mergeCell ref="J14:M14"/>
    <mergeCell ref="Q14:T14"/>
    <mergeCell ref="C15:F15"/>
    <mergeCell ref="J15:M15"/>
    <mergeCell ref="Q15:T15"/>
    <mergeCell ref="C16:F16"/>
    <mergeCell ref="J16:M16"/>
    <mergeCell ref="Q16:T16"/>
    <mergeCell ref="C17:F17"/>
    <mergeCell ref="J17:M17"/>
    <mergeCell ref="Q17:T17"/>
    <mergeCell ref="Z18:AF18"/>
    <mergeCell ref="C19:F19"/>
    <mergeCell ref="J19:M19"/>
    <mergeCell ref="Q19:T19"/>
    <mergeCell ref="Z19:AF19"/>
    <mergeCell ref="C18:F18"/>
    <mergeCell ref="J18:M18"/>
    <mergeCell ref="Q18:T18"/>
    <mergeCell ref="C23:F23"/>
    <mergeCell ref="J23:M23"/>
    <mergeCell ref="Q23:T23"/>
    <mergeCell ref="Z23:AF23"/>
    <mergeCell ref="Z20:AF20"/>
    <mergeCell ref="C21:F21"/>
    <mergeCell ref="J21:M21"/>
    <mergeCell ref="Q21:T21"/>
    <mergeCell ref="Z21:AF21"/>
    <mergeCell ref="C22:F22"/>
    <mergeCell ref="J22:M22"/>
    <mergeCell ref="Q22:T22"/>
    <mergeCell ref="Z22:AF22"/>
    <mergeCell ref="C20:F20"/>
    <mergeCell ref="J20:M20"/>
    <mergeCell ref="Q20:T20"/>
    <mergeCell ref="C24:F24"/>
    <mergeCell ref="J24:M24"/>
    <mergeCell ref="Q24:T24"/>
    <mergeCell ref="Z24:AF24"/>
    <mergeCell ref="Z30:AF30"/>
    <mergeCell ref="C25:F25"/>
    <mergeCell ref="J25:M25"/>
    <mergeCell ref="Q25:T25"/>
    <mergeCell ref="Z25:AF25"/>
    <mergeCell ref="Q30:T30"/>
    <mergeCell ref="C26:F26"/>
    <mergeCell ref="J26:M26"/>
    <mergeCell ref="Q26:T26"/>
    <mergeCell ref="Z26:AF26"/>
    <mergeCell ref="C27:F27"/>
    <mergeCell ref="J27:M27"/>
    <mergeCell ref="Q27:T27"/>
    <mergeCell ref="Z27:AF27"/>
    <mergeCell ref="C28:F28"/>
    <mergeCell ref="J28:M28"/>
    <mergeCell ref="Q28:T28"/>
    <mergeCell ref="Z28:AF28"/>
    <mergeCell ref="Z32:AF32"/>
    <mergeCell ref="C29:F29"/>
    <mergeCell ref="J29:M29"/>
    <mergeCell ref="Q29:T29"/>
    <mergeCell ref="Z29:AF29"/>
    <mergeCell ref="J30:M30"/>
    <mergeCell ref="J31:M31"/>
    <mergeCell ref="Q31:U31"/>
    <mergeCell ref="G37:H37"/>
    <mergeCell ref="U37:V37"/>
    <mergeCell ref="AA37:AC37"/>
    <mergeCell ref="C30:F30"/>
    <mergeCell ref="C33:H33"/>
    <mergeCell ref="J33:O33"/>
    <mergeCell ref="Q33:V33"/>
    <mergeCell ref="Z33:AF33"/>
    <mergeCell ref="G36:H36"/>
    <mergeCell ref="N36:O36"/>
    <mergeCell ref="U36:V36"/>
    <mergeCell ref="G34:H34"/>
    <mergeCell ref="N34:O34"/>
    <mergeCell ref="U34:V34"/>
    <mergeCell ref="G35:H35"/>
    <mergeCell ref="N35:O35"/>
    <mergeCell ref="Z36:AF36"/>
    <mergeCell ref="U35:V35"/>
    <mergeCell ref="Z34:AF34"/>
    <mergeCell ref="Z35:AF3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election activeCell="H17" sqref="H17"/>
    </sheetView>
  </sheetViews>
  <sheetFormatPr defaultRowHeight="15" x14ac:dyDescent="0.25"/>
  <sheetData>
    <row r="6" spans="3:8" x14ac:dyDescent="0.25">
      <c r="C6" s="94"/>
      <c r="D6" s="205" t="s">
        <v>122</v>
      </c>
      <c r="E6" s="205"/>
      <c r="F6" s="205"/>
      <c r="G6" s="205"/>
      <c r="H6" s="92" t="s">
        <v>78</v>
      </c>
    </row>
    <row r="7" spans="3:8" x14ac:dyDescent="0.25">
      <c r="C7" s="94"/>
      <c r="D7" s="92" t="s">
        <v>11</v>
      </c>
      <c r="E7" s="92" t="s">
        <v>13</v>
      </c>
      <c r="F7" s="92" t="s">
        <v>14</v>
      </c>
      <c r="G7" s="92" t="s">
        <v>79</v>
      </c>
      <c r="H7" s="92" t="s">
        <v>80</v>
      </c>
    </row>
    <row r="8" spans="3:8" x14ac:dyDescent="0.25">
      <c r="C8" s="94" t="s">
        <v>81</v>
      </c>
      <c r="D8" s="93">
        <f ca="1">Surface!F43</f>
        <v>27.19879176503834</v>
      </c>
      <c r="E8" s="93">
        <f ca="1">Surface!M43</f>
        <v>27.794764214863083</v>
      </c>
      <c r="F8" s="93">
        <f ca="1">Surface!T43</f>
        <v>26.096956988107184</v>
      </c>
      <c r="G8" s="93">
        <f ca="1">Surface!W43</f>
        <v>26.705402032436812</v>
      </c>
      <c r="H8" s="93">
        <f ca="1">SubS!AB32</f>
        <v>0.83614844631681451</v>
      </c>
    </row>
    <row r="9" spans="3:8" x14ac:dyDescent="0.25">
      <c r="C9" s="94" t="s">
        <v>82</v>
      </c>
      <c r="D9" s="93">
        <f ca="1">Surface!F44</f>
        <v>68.850589041327268</v>
      </c>
      <c r="E9" s="93">
        <f ca="1">Surface!M44</f>
        <v>69.411744358099881</v>
      </c>
      <c r="F9" s="93">
        <f ca="1">Surface!T44</f>
        <v>56.081184312038609</v>
      </c>
      <c r="G9" s="93">
        <f ca="1">Surface!W44</f>
        <v>65.674508721856341</v>
      </c>
      <c r="H9" s="93">
        <f ca="1">SubS!AB33</f>
        <v>27.041518803246632</v>
      </c>
    </row>
    <row r="10" spans="3:8" x14ac:dyDescent="0.25">
      <c r="C10" s="94" t="s">
        <v>83</v>
      </c>
      <c r="D10" s="93">
        <f ca="1">Surface!F45</f>
        <v>115.40364873027464</v>
      </c>
      <c r="E10" s="93">
        <f ca="1">Surface!M45</f>
        <v>121.71874765799417</v>
      </c>
      <c r="F10" s="93">
        <f ca="1">Surface!T45</f>
        <v>111.61501552760485</v>
      </c>
      <c r="G10" s="93">
        <f ca="1">Surface!W45</f>
        <v>116.47602549263267</v>
      </c>
      <c r="H10" s="93">
        <f ca="1">SubS!AB34</f>
        <v>82.004875213172639</v>
      </c>
    </row>
    <row r="11" spans="3:8" x14ac:dyDescent="0.25">
      <c r="C11" s="94" t="s">
        <v>84</v>
      </c>
      <c r="D11" s="93">
        <f ca="1">Surface!F46</f>
        <v>132.43910072719294</v>
      </c>
      <c r="E11" s="93">
        <f ca="1">Surface!M46</f>
        <v>140.47228958716076</v>
      </c>
      <c r="F11" s="93">
        <f ca="1">Surface!T46</f>
        <v>125.51966671219169</v>
      </c>
      <c r="G11" s="93">
        <f ca="1">Surface!W46</f>
        <v>132.43910072719294</v>
      </c>
      <c r="H11" s="93">
        <f ca="1">SubS!AB35</f>
        <v>110.86328842411382</v>
      </c>
    </row>
    <row r="12" spans="3:8" x14ac:dyDescent="0.25">
      <c r="C12" s="94"/>
      <c r="D12" s="93"/>
      <c r="E12" s="93"/>
      <c r="F12" s="93"/>
      <c r="G12" s="93"/>
      <c r="H12" s="93"/>
    </row>
    <row r="13" spans="3:8" x14ac:dyDescent="0.25">
      <c r="C13" s="94" t="s">
        <v>85</v>
      </c>
      <c r="D13" s="93">
        <f ca="1">Surface!F48</f>
        <v>2.1037651181340404</v>
      </c>
      <c r="E13" s="93">
        <f ca="1">Surface!M48</f>
        <v>2.1254356817300208</v>
      </c>
      <c r="F13" s="93">
        <f ca="1">Surface!T48</f>
        <v>2.0695974571679994</v>
      </c>
      <c r="G13" s="93">
        <f ca="1">Surface!W48</f>
        <v>2.1163783258109023</v>
      </c>
      <c r="H13" s="93">
        <f ca="1">SubS!AB37</f>
        <v>17.686563034043957</v>
      </c>
    </row>
    <row r="14" spans="3:8" x14ac:dyDescent="0.25">
      <c r="C14" s="94" t="s">
        <v>86</v>
      </c>
      <c r="D14" s="93">
        <f>Surface!F50</f>
        <v>7</v>
      </c>
      <c r="E14" s="93">
        <f>Surface!M50</f>
        <v>4</v>
      </c>
      <c r="F14" s="93">
        <f>Surface!T50</f>
        <v>1</v>
      </c>
      <c r="G14" s="93">
        <f>Surface!W50</f>
        <v>4</v>
      </c>
      <c r="H14" s="94"/>
    </row>
    <row r="15" spans="3:8" x14ac:dyDescent="0.25">
      <c r="C15" s="94"/>
      <c r="D15" s="94"/>
      <c r="E15" s="94"/>
      <c r="F15" s="94"/>
      <c r="G15" s="94"/>
      <c r="H15" s="94"/>
    </row>
    <row r="16" spans="3:8" x14ac:dyDescent="0.25">
      <c r="C16" s="94" t="s">
        <v>87</v>
      </c>
      <c r="D16" s="94"/>
      <c r="E16" s="94"/>
      <c r="F16" s="94"/>
      <c r="G16" s="94"/>
      <c r="H16" s="93">
        <f>SubS!AB38</f>
        <v>78.725042525524998</v>
      </c>
    </row>
    <row r="17" spans="3:8" x14ac:dyDescent="0.25">
      <c r="C17" s="94" t="s">
        <v>88</v>
      </c>
      <c r="D17" s="94"/>
      <c r="E17" s="94"/>
      <c r="F17" s="94"/>
      <c r="G17" s="94"/>
      <c r="H17" s="93">
        <f>SubS!AB39</f>
        <v>20.644588364120189</v>
      </c>
    </row>
    <row r="18" spans="3:8" x14ac:dyDescent="0.25">
      <c r="C18" s="94" t="s">
        <v>89</v>
      </c>
      <c r="D18" s="94"/>
      <c r="E18" s="94"/>
      <c r="F18" s="94"/>
      <c r="G18" s="94"/>
      <c r="H18" s="93">
        <f>SubS!AB40</f>
        <v>0.6303691103548148</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defaultRowHeight="15" x14ac:dyDescent="0.25"/>
  <sheetData>
    <row r="1" spans="1:1" x14ac:dyDescent="0.25">
      <c r="A1" s="98" t="s">
        <v>90</v>
      </c>
    </row>
    <row r="2" spans="1:1" x14ac:dyDescent="0.25">
      <c r="A2" s="98"/>
    </row>
    <row r="3" spans="1:1" x14ac:dyDescent="0.25">
      <c r="A3" s="98" t="s">
        <v>93</v>
      </c>
    </row>
    <row r="4" spans="1:1" x14ac:dyDescent="0.25">
      <c r="A4" s="98"/>
    </row>
    <row r="5" spans="1:1" x14ac:dyDescent="0.25">
      <c r="A5" s="98" t="s">
        <v>94</v>
      </c>
    </row>
    <row r="6" spans="1:1" x14ac:dyDescent="0.25">
      <c r="A6" s="98"/>
    </row>
    <row r="7" spans="1:1" x14ac:dyDescent="0.25">
      <c r="A7" s="98" t="s">
        <v>91</v>
      </c>
    </row>
    <row r="8" spans="1:1" x14ac:dyDescent="0.25">
      <c r="A8" s="98"/>
    </row>
    <row r="9" spans="1:1" x14ac:dyDescent="0.25">
      <c r="A9" s="98"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1</vt:i4>
      </vt:variant>
      <vt:variant>
        <vt:lpstr>Named Ranges</vt:lpstr>
      </vt:variant>
      <vt:variant>
        <vt:i4>1</vt:i4>
      </vt:variant>
    </vt:vector>
  </HeadingPairs>
  <TitlesOfParts>
    <vt:vector size="6" baseType="lpstr">
      <vt:lpstr>SubS</vt:lpstr>
      <vt:lpstr>Surface</vt:lpstr>
      <vt:lpstr>Summary</vt:lpstr>
      <vt:lpstr>readme</vt:lpstr>
      <vt:lpstr>Dist Chart</vt:lpstr>
      <vt:lpstr>SubS!Print_Area</vt:lpstr>
    </vt:vector>
  </TitlesOfParts>
  <Company>Tetra Tech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Zevenbergen, Lyle</cp:lastModifiedBy>
  <cp:lastPrinted>2014-06-20T00:17:21Z</cp:lastPrinted>
  <dcterms:created xsi:type="dcterms:W3CDTF">2013-10-08T21:21:00Z</dcterms:created>
  <dcterms:modified xsi:type="dcterms:W3CDTF">2014-12-17T20:40:42Z</dcterms:modified>
</cp:coreProperties>
</file>